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585" yWindow="1485" windowWidth="15480" windowHeight="11640" tabRatio="770" activeTab="0"/>
  </bookViews>
  <sheets>
    <sheet name="Лист2" sheetId="1" r:id="rId1"/>
    <sheet name="1.РасчетНорматива" sheetId="2" r:id="rId2"/>
    <sheet name="2.ФОТ" sheetId="3" r:id="rId3"/>
    <sheet name="3.ГарантИкомп СОШ 2" sheetId="4" r:id="rId4"/>
    <sheet name="4.КомУсл 223" sheetId="5" r:id="rId5"/>
    <sheet name="5.СодНедвижИмущ 225,226" sheetId="6" r:id="rId6"/>
    <sheet name="6.УслСвязи 221,222" sheetId="7" r:id="rId7"/>
    <sheet name="7.Отраслевые" sheetId="8" r:id="rId8"/>
    <sheet name="8.ДрОбщехоз-е" sheetId="9" r:id="rId9"/>
    <sheet name="Медосмотр " sheetId="10" r:id="rId10"/>
    <sheet name="Налоги 290" sheetId="11" r:id="rId11"/>
    <sheet name="6. Авто.усл. 222 " sheetId="12" r:id="rId12"/>
  </sheets>
  <externalReferences>
    <externalReference r:id="rId15"/>
    <externalReference r:id="rId16"/>
    <externalReference r:id="rId17"/>
  </externalReferences>
  <definedNames>
    <definedName name="sample" localSheetId="11">#REF!</definedName>
    <definedName name="sample" localSheetId="9">#REF!</definedName>
    <definedName name="sample" localSheetId="10">#REF!</definedName>
    <definedName name="sample">#REF!</definedName>
    <definedName name="бланок" localSheetId="11">#REF!</definedName>
    <definedName name="бланок" localSheetId="9">#REF!</definedName>
    <definedName name="бланок" localSheetId="10">#REF!</definedName>
    <definedName name="бланок">#REF!</definedName>
    <definedName name="_xlnm.Print_Titles" localSheetId="1">'1.РасчетНорматива'!$4:$7</definedName>
    <definedName name="ИНН">#REF!</definedName>
    <definedName name="КПП">#REF!</definedName>
    <definedName name="Лицевой_счет">#REF!</definedName>
    <definedName name="Мероприятие" localSheetId="11">#REF!</definedName>
    <definedName name="Мероприятие" localSheetId="9">#REF!</definedName>
    <definedName name="Мероприятие" localSheetId="10">#REF!</definedName>
    <definedName name="Мероприятие">#REF!</definedName>
    <definedName name="Наименование">#REF!</definedName>
    <definedName name="Налоги" localSheetId="11">#REF!</definedName>
    <definedName name="Налоги">#REF!</definedName>
    <definedName name="_xlnm.Print_Area" localSheetId="1">'1.РасчетНорматива'!$A$1:$P$26</definedName>
    <definedName name="_xlnm.Print_Area" localSheetId="4">'4.КомУсл 223'!$A$1:$G$15</definedName>
    <definedName name="_xlnm.Print_Area" localSheetId="7">'7.Отраслевые'!$A$1:$D$15</definedName>
    <definedName name="Район">#REF!</definedName>
    <definedName name="Счет">#REF!</definedName>
    <definedName name="Т1" localSheetId="11">#REF!</definedName>
    <definedName name="Т1" localSheetId="9">#REF!</definedName>
    <definedName name="Т1" localSheetId="10">#REF!</definedName>
    <definedName name="Т1">#REF!</definedName>
    <definedName name="т12" localSheetId="11">#REF!</definedName>
    <definedName name="т12" localSheetId="9">#REF!</definedName>
    <definedName name="т12" localSheetId="10">#REF!</definedName>
    <definedName name="т12">#REF!</definedName>
    <definedName name="т13" localSheetId="11">#REF!</definedName>
    <definedName name="т13">#REF!</definedName>
    <definedName name="Т3" localSheetId="11">#REF!</definedName>
    <definedName name="Т3" localSheetId="9">#REF!</definedName>
    <definedName name="Т3" localSheetId="10">#REF!</definedName>
    <definedName name="Т3">#REF!</definedName>
    <definedName name="Тип_средств">#REF!</definedName>
    <definedName name="Тип_финансирования">#REF!</definedName>
  </definedNames>
  <calcPr fullCalcOnLoad="1"/>
</workbook>
</file>

<file path=xl/sharedStrings.xml><?xml version="1.0" encoding="utf-8"?>
<sst xmlns="http://schemas.openxmlformats.org/spreadsheetml/2006/main" count="555" uniqueCount="359">
  <si>
    <t>Наименование учреждения</t>
  </si>
  <si>
    <t>Сумма на год (тыс. руб.)</t>
  </si>
  <si>
    <t>х</t>
  </si>
  <si>
    <t>Вывоз и обработка твердых бытовых отходов</t>
  </si>
  <si>
    <t>Итого затраты на содержание имущества</t>
  </si>
  <si>
    <t>Периодичность предоставления услуг в год</t>
  </si>
  <si>
    <t>Затраты на содержание недвижимого имущества</t>
  </si>
  <si>
    <r>
      <t>Коэффициент корректировки
(k</t>
    </r>
    <r>
      <rPr>
        <b/>
        <vertAlign val="subscript"/>
        <sz val="10"/>
        <rFont val="Arial Cyr"/>
        <family val="0"/>
      </rPr>
      <t>к</t>
    </r>
    <r>
      <rPr>
        <b/>
        <sz val="9"/>
        <rFont val="Arial Cyr"/>
        <family val="0"/>
      </rPr>
      <t>)</t>
    </r>
  </si>
  <si>
    <t>Затраты на общехозяйственные нужды</t>
  </si>
  <si>
    <t>Итого</t>
  </si>
  <si>
    <t>тыс. руб.</t>
  </si>
  <si>
    <t>Затраты на приобретение услуг связи</t>
  </si>
  <si>
    <t>Затраты на оплату труда и начисления на выплаты по оплате труда (участие в услуге)</t>
  </si>
  <si>
    <t>Затраты на коммунальные услуги</t>
  </si>
  <si>
    <t>Затраты, имеющие отраслевой характер</t>
  </si>
  <si>
    <t>Проезд к месту отдыха и обратно</t>
  </si>
  <si>
    <t>Количество штатных единиц</t>
  </si>
  <si>
    <t>Интернет</t>
  </si>
  <si>
    <t>Междугородние переговоры</t>
  </si>
  <si>
    <t>Количество точек</t>
  </si>
  <si>
    <t>ВСЕГО расходов на год</t>
  </si>
  <si>
    <t>Телефонная связь (абон. плата)</t>
  </si>
  <si>
    <t>РК (внутризоновые)</t>
  </si>
  <si>
    <t>За пределы РК и междугородные</t>
  </si>
  <si>
    <t>Плата за единицу объема на период, руб.</t>
  </si>
  <si>
    <t>Прочие услуги связи</t>
  </si>
  <si>
    <t>Почтовая связь (почтовое отправление)</t>
  </si>
  <si>
    <t>Виды услуги связи</t>
  </si>
  <si>
    <t>Итого на год (тыс. руб.)</t>
  </si>
  <si>
    <t xml:space="preserve"> КВт</t>
  </si>
  <si>
    <t xml:space="preserve"> Гкал</t>
  </si>
  <si>
    <t>электроэнергия</t>
  </si>
  <si>
    <t>теплоэнергия</t>
  </si>
  <si>
    <t>Итого затраты на коммунальные услуги</t>
  </si>
  <si>
    <t>Единица измерения</t>
  </si>
  <si>
    <t>куб.м</t>
  </si>
  <si>
    <t>Объем потребления в год</t>
  </si>
  <si>
    <t>Тариф (руб.)</t>
  </si>
  <si>
    <t>Использование радиоточки</t>
  </si>
  <si>
    <t>Итого затраты, имеющие отраслевой характер</t>
  </si>
  <si>
    <t>Расходы за год, предшествующий текущему финансовому году (отчетному)</t>
  </si>
  <si>
    <t>Количество работников, получающих выплату</t>
  </si>
  <si>
    <t>Расходы за месяц, руб.</t>
  </si>
  <si>
    <t>Количество месяцев предоставления выплаты</t>
  </si>
  <si>
    <t>Затраты на гарантии и компенсации работников</t>
  </si>
  <si>
    <t>Объем услуги</t>
  </si>
  <si>
    <t>Затраты на единицу услуги</t>
  </si>
  <si>
    <t>2010 год</t>
  </si>
  <si>
    <t>руб.</t>
  </si>
  <si>
    <t>2009 год</t>
  </si>
  <si>
    <t>2008 год</t>
  </si>
  <si>
    <t>Наименование учреждений (в разрезе целевых статей)</t>
  </si>
  <si>
    <t>Распределение затрат на оплату труда, %</t>
  </si>
  <si>
    <t>Фонд должностных окладов (ставок) тыс. руб.</t>
  </si>
  <si>
    <t xml:space="preserve">Фонд надбавок к должностному окладу (ставке) тыс.руб. </t>
  </si>
  <si>
    <t xml:space="preserve">Фонд выплат компенсационного характера к должностному окладу (ставке) 
тыс. руб. </t>
  </si>
  <si>
    <t>Фонд выплат стимулирующего характера, тыс. руб.</t>
  </si>
  <si>
    <t>В том числе:
фонд выплат стимулирующего характера без учета надбавки за выслугу, тыс. руб.
(таблица 1.3)</t>
  </si>
  <si>
    <t>В том числе:
из фонда выплат стимулирующего характера - надбавка за выслугу, тыс. руб.
(таблица 1.3)</t>
  </si>
  <si>
    <t>Итого фонд оплаты труда в год (тыс. руб.) (гр. 4 + гр.6 + гр.9 + гр.12)</t>
  </si>
  <si>
    <t>Итого фонд оплаты труда в год с учетом выплаты районного коэф. и процентной надбавки (тыс. руб.) (гр.14 + гр.15)</t>
  </si>
  <si>
    <t>Коэффициент начисления на выплаты по оплате труда</t>
  </si>
  <si>
    <t>Итого фонд оплаты труда в год с учетом начисления на выплаты по оплате труда (тыс. руб.) (гр.16*гр.17)</t>
  </si>
  <si>
    <t xml:space="preserve">в месяц </t>
  </si>
  <si>
    <t>в год</t>
  </si>
  <si>
    <t>в месяц</t>
  </si>
  <si>
    <t>Всего в год</t>
  </si>
  <si>
    <t>Фонд надбавок к фонду должностных окладов (%) (гр. 11/гр. 9*100)</t>
  </si>
  <si>
    <t>Фонд выплат к фонду должностных окладов (%) (гр.14/гр.9 *100)</t>
  </si>
  <si>
    <t>Фонд выплат  (%) (гр.17 / (гр.9+гр11+ гр.14)*100)</t>
  </si>
  <si>
    <t>Фонд выплат  (%) (гр.17.1 / (гр.9+гр11+ гр.14)*100)</t>
  </si>
  <si>
    <t>16.1</t>
  </si>
  <si>
    <t>17.1</t>
  </si>
  <si>
    <t>18.1</t>
  </si>
  <si>
    <t>16.2</t>
  </si>
  <si>
    <t>17.2</t>
  </si>
  <si>
    <t>18.2</t>
  </si>
  <si>
    <t xml:space="preserve">ЗАТРАТЫ НА ОПЛАТУ ТРУДА И НАЧИСЛЕНИЯ НА ВЫПЛАТЫ ПО ОПЛАТЕ ТРУДА в соответствии со штатным раписанием </t>
  </si>
  <si>
    <t xml:space="preserve">из них:
ПРЯМЫЕ ЗАТРАТЫ </t>
  </si>
  <si>
    <t>КОСВЕННЫЕ ЗАТРАТЫ</t>
  </si>
  <si>
    <t>ВМУ</t>
  </si>
  <si>
    <t>ГУ "Объединенное автохозяйство"Министерства культуры Республики Коми</t>
  </si>
  <si>
    <t>ГУ РК "Республиканский Дом творчества"</t>
  </si>
  <si>
    <t>ГУ  "Учебно-методический центр культуры Республики Коми"</t>
  </si>
  <si>
    <t xml:space="preserve">ГУ "Национальная библиотека Республики Коми" </t>
  </si>
  <si>
    <t xml:space="preserve">ГУ "Коми республиканская юношеская библиотека" </t>
  </si>
  <si>
    <t xml:space="preserve">ГУК "Национальная детская библиотека Республики Коми им. С.Я.Маршака" </t>
  </si>
  <si>
    <t xml:space="preserve">ГУ "Коми республиканская специальная библиотека для слепых им.Л.Брайля" </t>
  </si>
  <si>
    <t xml:space="preserve">ГРУ "Национальный музей Республики Коми" </t>
  </si>
  <si>
    <t xml:space="preserve">ГУК "Национальная галерея Республики Коми" </t>
  </si>
  <si>
    <t>Тоиб</t>
  </si>
  <si>
    <t>АДТ</t>
  </si>
  <si>
    <t>ВДТ</t>
  </si>
  <si>
    <t>ВТК</t>
  </si>
  <si>
    <t>НМДТ</t>
  </si>
  <si>
    <t>Фил</t>
  </si>
  <si>
    <t>ЗТ</t>
  </si>
  <si>
    <t>КВП</t>
  </si>
  <si>
    <t>УРР</t>
  </si>
  <si>
    <t xml:space="preserve">Расчет норматива затрат на оплату труда и начисления на выплаты по оплате труда </t>
  </si>
  <si>
    <t xml:space="preserve">Расчет норматива затрат на гарантии и компенсации работников </t>
  </si>
  <si>
    <t xml:space="preserve">Расчет норматива затрат на коммунальные услуги </t>
  </si>
  <si>
    <t xml:space="preserve">Расчет норматива затрат на содержание недвижимого имущества </t>
  </si>
  <si>
    <t xml:space="preserve">Расчет норматива затрат на приобретение услуг связи </t>
  </si>
  <si>
    <t xml:space="preserve">Расчет норматива затрат, имеющих отраслевой характер </t>
  </si>
  <si>
    <t>Количество штатных единиц на плановый период</t>
  </si>
  <si>
    <t>число работников учреждения,  предъявивших проездные документы для оплаты за год, предшествующий текущему финансовому году (отчетному)</t>
  </si>
  <si>
    <t>Стоимость льготы на 1 штатную единицу,
тыс. руб.</t>
  </si>
  <si>
    <t>Итого на текущий финансовый год (тыс. руб.)</t>
  </si>
  <si>
    <t>Затраты на социальное обеспечение учащихся</t>
  </si>
  <si>
    <t>%</t>
  </si>
  <si>
    <t>15=13*14</t>
  </si>
  <si>
    <t>Поправочный коэффициент</t>
  </si>
  <si>
    <t>Определение норматива затрат на оказание муниципальной услуги</t>
  </si>
  <si>
    <t>на 1.01.2011 г.</t>
  </si>
  <si>
    <t>водоотведение</t>
  </si>
  <si>
    <t>Местные соединения (безлимитный)</t>
  </si>
  <si>
    <t>Местные соединения (повременный)</t>
  </si>
  <si>
    <t>Местные соединения (без СПУС)</t>
  </si>
  <si>
    <t>Затраты на приобретение периодических изданий</t>
  </si>
  <si>
    <t>Количество услуг</t>
  </si>
  <si>
    <t>Расчет норматива затрат на общехозяйственные нужды</t>
  </si>
  <si>
    <t>Виды услуги</t>
  </si>
  <si>
    <t>Количество дней</t>
  </si>
  <si>
    <t>Количество работников, направляемых в командировку</t>
  </si>
  <si>
    <t>Коэффициент-дефлятор</t>
  </si>
  <si>
    <t>Дератизация</t>
  </si>
  <si>
    <t>Ежемесячная компенсационная выплата за приобретение книгоиздательской продукции и периодических изданий</t>
  </si>
  <si>
    <t>Затраты на содержание внутридомовых систем</t>
  </si>
  <si>
    <t>Ежемесячная компенсационная выплата работнику по уходу за ребенком до достижения им трехлетнего возраста</t>
  </si>
  <si>
    <t>техобслуживание и тек. ремонт сантех оборудования</t>
  </si>
  <si>
    <t>Плата за единицу услуги</t>
  </si>
  <si>
    <t>Расходы на планируемый год</t>
  </si>
  <si>
    <t>Итого затраты намуниципальную услугу на учреждение</t>
  </si>
  <si>
    <t>Общий объем финансового обеспечения выполнения муниципального задания на оказание услуг</t>
  </si>
  <si>
    <t>Приложение 2</t>
  </si>
  <si>
    <t xml:space="preserve">Приложение 2.1  </t>
  </si>
  <si>
    <t>Приложение 2.2</t>
  </si>
  <si>
    <t>Приложение 2.3</t>
  </si>
  <si>
    <t>Приложение 2.4</t>
  </si>
  <si>
    <t>Приложение 2.6</t>
  </si>
  <si>
    <t>Приложение 2.7</t>
  </si>
  <si>
    <t>горячее водоснабжение</t>
  </si>
  <si>
    <t xml:space="preserve">холодное водоснабжение </t>
  </si>
  <si>
    <t>Затраты на ремонт и обслуживание электросетей</t>
  </si>
  <si>
    <t>Ремонт и обслуживание электросетей</t>
  </si>
  <si>
    <t>Затраты на ремонт и обслуживание электрооборудование</t>
  </si>
  <si>
    <t>Ремонт и обслуживание электрооборудование</t>
  </si>
  <si>
    <t>Затраты на содержание в чистоте зданий и прилегающей территории, вывоз крупногаборитного мусора</t>
  </si>
  <si>
    <t>Вывоз вывоз крупногаборитного мусора</t>
  </si>
  <si>
    <t>Расчет норматива затрат на проведение медицинского осмотра</t>
  </si>
  <si>
    <t xml:space="preserve">Виды услуги </t>
  </si>
  <si>
    <t xml:space="preserve">Количество сотрудников </t>
  </si>
  <si>
    <t xml:space="preserve">Плата за единицу </t>
  </si>
  <si>
    <t>Медицинский осмотр - мужчины</t>
  </si>
  <si>
    <t>Медицинский осмотр - женщины</t>
  </si>
  <si>
    <t>Приложение 2.8</t>
  </si>
  <si>
    <t>Ремонт оргтехники</t>
  </si>
  <si>
    <t>Расчет платы за негативное воздействие на окружающую среду</t>
  </si>
  <si>
    <t>Плата за загрязнение окр. среды</t>
  </si>
  <si>
    <t>Автотранспортные услуги</t>
  </si>
  <si>
    <t>Часы</t>
  </si>
  <si>
    <t xml:space="preserve">Уборка снега </t>
  </si>
  <si>
    <t>Расчет норматива затрат на автотранспортные услуги</t>
  </si>
  <si>
    <t>Затраты на автотранспортные услуги</t>
  </si>
  <si>
    <t>услуга по предоставлению  образования детей</t>
  </si>
  <si>
    <r>
      <t xml:space="preserve">Затраты на коммунальные услуги </t>
    </r>
    <r>
      <rPr>
        <b/>
        <sz val="8"/>
        <rFont val="Arial"/>
        <family val="2"/>
      </rPr>
      <t>223</t>
    </r>
  </si>
  <si>
    <r>
      <t xml:space="preserve">Затраты на приобретение услуг связи </t>
    </r>
    <r>
      <rPr>
        <b/>
        <i/>
        <sz val="8"/>
        <rFont val="Arial"/>
        <family val="2"/>
      </rPr>
      <t>221</t>
    </r>
  </si>
  <si>
    <r>
      <t xml:space="preserve">Затраты на оплату труда и начисления на выплаты по оплате труда (прочие) </t>
    </r>
    <r>
      <rPr>
        <b/>
        <i/>
        <sz val="8"/>
        <rFont val="Arial"/>
        <family val="2"/>
      </rPr>
      <t>211</t>
    </r>
  </si>
  <si>
    <t>Проезд к месту учебы и обратно 222</t>
  </si>
  <si>
    <t>Приобретение промтоваров, хозтоваров, игрушки, спортинвентаря, медикаментов, костюмов для проведения мероприятий 340</t>
  </si>
  <si>
    <t>Продукты питания 340</t>
  </si>
  <si>
    <t>суточные 212</t>
  </si>
  <si>
    <t>проживание 226</t>
  </si>
  <si>
    <t>проезд 222</t>
  </si>
  <si>
    <t xml:space="preserve">Командировочные расходы: </t>
  </si>
  <si>
    <t>Затраты на медицинский  осмотр 226</t>
  </si>
  <si>
    <t>тыс. детей</t>
  </si>
  <si>
    <r>
      <t>Другие затраты на общехозяйственные нужды 225.</t>
    </r>
    <r>
      <rPr>
        <b/>
        <i/>
        <sz val="8"/>
        <rFont val="Arial"/>
        <family val="2"/>
      </rPr>
      <t>226, 290,222,340,212</t>
    </r>
  </si>
  <si>
    <t>ТИПОВАЯ ФОРМА</t>
  </si>
  <si>
    <t>плана финансово-хозяйственной деятельности</t>
  </si>
  <si>
    <t xml:space="preserve">муниципальных бюджетных учреждений </t>
  </si>
  <si>
    <t>Управления образования муниципального района «Вуктыл»</t>
  </si>
  <si>
    <t>Утверждаю</t>
  </si>
  <si>
    <t>муниципального района "Вуктыл"</t>
  </si>
  <si>
    <t>_______________________   Е.А. Ершова</t>
  </si>
  <si>
    <t xml:space="preserve">                               (подпись)           (расшифровка подписи)</t>
  </si>
  <si>
    <t xml:space="preserve">План финансово-хозяйственной деятельности </t>
  </si>
  <si>
    <t xml:space="preserve">Полное наименование учреждения: </t>
  </si>
  <si>
    <t xml:space="preserve">Юридический адрес </t>
  </si>
  <si>
    <t>Адрес фактического местонахождения</t>
  </si>
  <si>
    <t xml:space="preserve">ИНН/КПП </t>
  </si>
  <si>
    <t xml:space="preserve">Основной государственный регистрационный номер </t>
  </si>
  <si>
    <t xml:space="preserve">Дата регистрации </t>
  </si>
  <si>
    <t xml:space="preserve">Место государственной регистрации </t>
  </si>
  <si>
    <t xml:space="preserve">Почтовый адрес </t>
  </si>
  <si>
    <t xml:space="preserve">Телефон учреждения </t>
  </si>
  <si>
    <t xml:space="preserve">Факс учреждения </t>
  </si>
  <si>
    <t xml:space="preserve">Адрес электронной почты </t>
  </si>
  <si>
    <t xml:space="preserve">Ф.И.О. руководителя учреждения </t>
  </si>
  <si>
    <t>Код ОКВЭД (ОКОНХ) (вид деятельности)</t>
  </si>
  <si>
    <t xml:space="preserve">Код ОКПО </t>
  </si>
  <si>
    <t xml:space="preserve">Код ОКФС (форма собственности) </t>
  </si>
  <si>
    <t xml:space="preserve">Код ОКАТО (местонахождение) </t>
  </si>
  <si>
    <t>Код ОКОПФ (организационно-правовая форма)</t>
  </si>
  <si>
    <t xml:space="preserve">Код ОКОГУ (орган управления) </t>
  </si>
  <si>
    <t>Код ОКЕИ (единицы измерения показателей)</t>
  </si>
  <si>
    <t>Код ОКВ (валюта)</t>
  </si>
  <si>
    <t xml:space="preserve">     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</si>
  <si>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</si>
  <si>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</si>
  <si>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осуществляемых на платной основе:</t>
  </si>
  <si>
    <t>1.4. Перечень и объем услуг (работ) согласно государственному заданию:</t>
  </si>
  <si>
    <t>2.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</si>
  <si>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</si>
  <si>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</si>
  <si>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</si>
  <si>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</si>
  <si>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</si>
  <si>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</si>
  <si>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</si>
  <si>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</si>
  <si>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</si>
  <si>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</si>
  <si>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</si>
  <si>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</si>
  <si>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</si>
  <si>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бюджета муниципального района «Вуктыл»</t>
  </si>
  <si>
    <t>2.2. Дебиторская задолженность по выданным авансам, полученным за счет средств бюджета муниципального района «Вуктыл»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</si>
  <si>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</si>
  <si>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</si>
  <si>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</si>
  <si>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</si>
  <si>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</si>
  <si>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</si>
  <si>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</si>
  <si>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</si>
  <si>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</si>
  <si>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</si>
  <si>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</si>
  <si>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</si>
  <si>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</si>
  <si>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</si>
  <si>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</si>
  <si>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</si>
  <si>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</si>
  <si>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</si>
  <si>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</si>
  <si>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</si>
  <si>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</si>
  <si>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</si>
  <si>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</si>
  <si>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муниципального района «Вуктыл»,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</si>
  <si>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</si>
  <si>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</si>
  <si>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</si>
  <si>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</si>
  <si>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</si>
  <si>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</si>
  <si>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</si>
  <si>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</si>
  <si>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</si>
  <si>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</si>
  <si>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</si>
  <si>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</si>
  <si>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</si>
  <si>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</si>
  <si>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</si>
  <si>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</si>
  <si>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</si>
  <si>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</si>
  <si>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</si>
  <si>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</si>
  <si>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</si>
  <si>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</si>
  <si>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</si>
  <si>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</si>
  <si>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</si>
  <si>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</si>
  <si>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</si>
  <si>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4. Штатная численность работников, всего</t>
  </si>
  <si>
    <t xml:space="preserve">в т.ч. </t>
  </si>
  <si>
    <t>5. Плановый годовой фонд оплаты труда учреждения</t>
  </si>
  <si>
    <t>6. Среднемесячная заработная плата на 1 работника учреждения</t>
  </si>
  <si>
    <t>3.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</si>
  <si>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</si>
  <si>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Значение показателя  за предшествующий период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</si>
  <si>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</si>
  <si>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</si>
  <si>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</si>
  <si>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</si>
  <si>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</si>
  <si>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</si>
  <si>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</si>
  <si>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</si>
  <si>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осуществление соответствующих целей (целевые субсидии)</t>
  </si>
  <si>
    <t> Х</t>
  </si>
  <si>
    <t>Поступления от оказания учреждением услуг, относящихся в соответствии с уставом учреждения к его основной деятельности , предоставление которых осуществляется на платной основе, а также поступления от иной приносящей доход деятельности</t>
  </si>
  <si>
    <t xml:space="preserve"> </t>
  </si>
  <si>
    <t>поступления от иной приносящей доход деятельности</t>
  </si>
  <si>
    <t>Выплаты, всего:</t>
  </si>
  <si>
    <t>По основной деятельности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</si>
  <si>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</si>
  <si>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</si>
  <si>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</si>
  <si>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</si>
  <si>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</si>
  <si>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</si>
  <si>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</si>
  <si>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</si>
  <si>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</si>
  <si>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</si>
  <si>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</si>
  <si>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</si>
  <si>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</si>
  <si>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</si>
  <si>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</si>
  <si>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</si>
  <si>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</si>
  <si>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</si>
  <si>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</si>
  <si>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</si>
  <si>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</si>
  <si>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По содержанию имущества</t>
  </si>
  <si>
    <t>Коммунальные услуги</t>
  </si>
  <si>
    <t>Работы, услуги по содержанию имущества, текущий и капитальный ремонт</t>
  </si>
  <si>
    <t>За счет поступлений от оказания учреждением услуг на платной основе, поступлений от иной приносящей доход деятельности</t>
  </si>
  <si>
    <t>Планируемый остаток средств на конец планируемого года</t>
  </si>
  <si>
    <t xml:space="preserve">Руководитель муниципального бюджетного учреждения </t>
  </si>
  <si>
    <t>(подпись)</t>
  </si>
  <si>
    <t>(расшифровка подписи)</t>
  </si>
  <si>
    <t>Исполнитель</t>
  </si>
  <si>
    <t>Е.В. Моисеева</t>
  </si>
  <si>
    <t>тел. 22092</t>
  </si>
  <si>
    <t>Моисеева Елена Владимировна</t>
  </si>
  <si>
    <t>Межрайонная инспекция Федеральной налоговой службы №3 по РК (Территориальный участок 1107 по г.Вуктылу Межрайонной инспекции Федеральной налоговой службы №3 по РК, 1107)</t>
  </si>
  <si>
    <t xml:space="preserve">Ф.И.О. и.о.главного бухгалтера </t>
  </si>
  <si>
    <t>80.21.2</t>
  </si>
  <si>
    <t>Гигиеническое обучение- санминимум 226</t>
  </si>
  <si>
    <t xml:space="preserve">Гигиеническое обучение- санминимум </t>
  </si>
  <si>
    <t>Приобретение промтоваров, хозтоваров,  спортинвентаря, медикаментов, 340</t>
  </si>
  <si>
    <t xml:space="preserve">Муниципальное бюджетное общеобразовательное учреждение «Средняя общеобразовательная школа №2 им. Г.В. Кравченко» г.Вуктыл  </t>
  </si>
  <si>
    <t>169570, Республика Коми, г.Вуктыл, ул. Коммунистическая, д.11</t>
  </si>
  <si>
    <t>1107000894/110701001</t>
  </si>
  <si>
    <t>kravchenko_2@mail.ru</t>
  </si>
  <si>
    <t>Политова Любовь Михайловна</t>
  </si>
  <si>
    <t>Субсидии на выполнении муниципального задания</t>
  </si>
  <si>
    <t>Л.М. Политова</t>
  </si>
  <si>
    <t>на  2013 год</t>
  </si>
  <si>
    <t>Начальник  Управления образования</t>
  </si>
  <si>
    <t xml:space="preserve">Главный  бухгалтер  муниципального бюджетного учреждения </t>
  </si>
  <si>
    <t>"___" ___2012г.</t>
  </si>
  <si>
    <t xml:space="preserve">Н. В. Маркова </t>
  </si>
  <si>
    <t>Приложение 2.5</t>
  </si>
  <si>
    <t>Приложение 3</t>
  </si>
  <si>
    <t xml:space="preserve">                          «_____»  __________ 2012 г.</t>
  </si>
  <si>
    <r>
      <t>1. Нефинансовые активы, всего</t>
    </r>
    <r>
      <rPr>
        <sz val="12"/>
        <rFont val="Times New Roman"/>
        <family val="1"/>
      </rPr>
      <t>:</t>
    </r>
  </si>
  <si>
    <t xml:space="preserve">Муниципальное бюджетное общеобразовательное учреждение «Средняя общеобразовательная школа №2 им. Г.В. Кравченко» </t>
  </si>
  <si>
    <t>Приложение 2.9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</si>
</sst>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[Red]\-#,##0.0\ "/>
    <numFmt numFmtId="176" formatCode="0.00000"/>
    <numFmt numFmtId="177" formatCode="0.0000"/>
    <numFmt numFmtId="178" formatCode="0.000"/>
    <numFmt numFmtId="179" formatCode="0.000000"/>
    <numFmt numFmtId="180" formatCode="#,##0.000"/>
    <numFmt numFmtId="181" formatCode="#,##0.0000"/>
    <numFmt numFmtId="182" formatCode="#,##0.00000"/>
    <numFmt numFmtId="183" formatCode="[$-FC19]d\ mmmm\ yyyy\ &quot;г.&quot;"/>
    <numFmt numFmtId="184" formatCode="#,##0.00_р_."/>
  </numFmts>
  <fonts count="59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vertAlign val="subscript"/>
      <sz val="10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sz val="7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u val="single"/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10" xfId="0" applyNumberFormat="1" applyFont="1" applyBorder="1" applyAlignment="1">
      <alignment shrinkToFit="1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170" fontId="17" fillId="0" borderId="10" xfId="0" applyNumberFormat="1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4" fillId="0" borderId="10" xfId="0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0" fontId="17" fillId="0" borderId="11" xfId="0" applyFont="1" applyFill="1" applyBorder="1" applyAlignment="1">
      <alignment horizontal="center" wrapText="1"/>
    </xf>
    <xf numFmtId="170" fontId="10" fillId="0" borderId="10" xfId="0" applyNumberFormat="1" applyFont="1" applyBorder="1" applyAlignment="1">
      <alignment shrinkToFit="1"/>
    </xf>
    <xf numFmtId="0" fontId="13" fillId="0" borderId="12" xfId="0" applyNumberFormat="1" applyFont="1" applyFill="1" applyBorder="1" applyAlignment="1">
      <alignment shrinkToFit="1"/>
    </xf>
    <xf numFmtId="0" fontId="17" fillId="0" borderId="11" xfId="0" applyFont="1" applyFill="1" applyBorder="1" applyAlignment="1">
      <alignment wrapText="1"/>
    </xf>
    <xf numFmtId="3" fontId="17" fillId="0" borderId="10" xfId="0" applyNumberFormat="1" applyFont="1" applyBorder="1" applyAlignment="1">
      <alignment shrinkToFit="1"/>
    </xf>
    <xf numFmtId="0" fontId="17" fillId="2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shrinkToFit="1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shrinkToFit="1"/>
    </xf>
    <xf numFmtId="0" fontId="27" fillId="0" borderId="10" xfId="0" applyFont="1" applyFill="1" applyBorder="1" applyAlignment="1">
      <alignment shrinkToFi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13" fillId="0" borderId="16" xfId="0" applyNumberFormat="1" applyFont="1" applyFill="1" applyBorder="1" applyAlignment="1">
      <alignment horizontal="center" shrinkToFit="1"/>
    </xf>
    <xf numFmtId="0" fontId="13" fillId="0" borderId="16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left" wrapText="1" indent="1"/>
    </xf>
    <xf numFmtId="0" fontId="11" fillId="0" borderId="10" xfId="0" applyNumberFormat="1" applyFont="1" applyFill="1" applyBorder="1" applyAlignment="1">
      <alignment horizontal="right" shrinkToFit="1"/>
    </xf>
    <xf numFmtId="0" fontId="11" fillId="0" borderId="10" xfId="0" applyNumberFormat="1" applyFont="1" applyFill="1" applyBorder="1" applyAlignment="1">
      <alignment shrinkToFit="1"/>
    </xf>
    <xf numFmtId="0" fontId="14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shrinkToFit="1"/>
    </xf>
    <xf numFmtId="0" fontId="14" fillId="0" borderId="10" xfId="0" applyNumberFormat="1" applyFont="1" applyFill="1" applyBorder="1" applyAlignment="1">
      <alignment shrinkToFit="1"/>
    </xf>
    <xf numFmtId="0" fontId="13" fillId="0" borderId="10" xfId="0" applyNumberFormat="1" applyFont="1" applyFill="1" applyBorder="1" applyAlignment="1">
      <alignment horizontal="center" shrinkToFit="1"/>
    </xf>
    <xf numFmtId="0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left" indent="1" shrinkToFit="1"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0" fillId="0" borderId="17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8" fontId="9" fillId="0" borderId="10" xfId="0" applyNumberFormat="1" applyFont="1" applyBorder="1" applyAlignment="1">
      <alignment shrinkToFit="1"/>
    </xf>
    <xf numFmtId="178" fontId="11" fillId="0" borderId="10" xfId="0" applyNumberFormat="1" applyFont="1" applyFill="1" applyBorder="1" applyAlignment="1">
      <alignment shrinkToFit="1"/>
    </xf>
    <xf numFmtId="4" fontId="17" fillId="0" borderId="10" xfId="0" applyNumberFormat="1" applyFont="1" applyBorder="1" applyAlignment="1">
      <alignment shrinkToFit="1"/>
    </xf>
    <xf numFmtId="0" fontId="25" fillId="0" borderId="10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shrinkToFit="1"/>
    </xf>
    <xf numFmtId="168" fontId="14" fillId="0" borderId="10" xfId="0" applyNumberFormat="1" applyFont="1" applyFill="1" applyBorder="1" applyAlignment="1">
      <alignment shrinkToFit="1"/>
    </xf>
    <xf numFmtId="2" fontId="14" fillId="0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shrinkToFit="1"/>
    </xf>
    <xf numFmtId="0" fontId="2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right" shrinkToFit="1"/>
    </xf>
    <xf numFmtId="0" fontId="14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shrinkToFit="1"/>
    </xf>
    <xf numFmtId="2" fontId="1" fillId="0" borderId="10" xfId="0" applyNumberFormat="1" applyFont="1" applyFill="1" applyBorder="1" applyAlignment="1">
      <alignment shrinkToFit="1"/>
    </xf>
    <xf numFmtId="176" fontId="11" fillId="0" borderId="10" xfId="0" applyNumberFormat="1" applyFont="1" applyFill="1" applyBorder="1" applyAlignment="1">
      <alignment shrinkToFit="1"/>
    </xf>
    <xf numFmtId="2" fontId="11" fillId="0" borderId="10" xfId="0" applyNumberFormat="1" applyFont="1" applyFill="1" applyBorder="1" applyAlignment="1">
      <alignment shrinkToFit="1"/>
    </xf>
    <xf numFmtId="2" fontId="25" fillId="0" borderId="10" xfId="0" applyNumberFormat="1" applyFont="1" applyFill="1" applyBorder="1" applyAlignment="1">
      <alignment shrinkToFit="1"/>
    </xf>
    <xf numFmtId="2" fontId="27" fillId="0" borderId="10" xfId="0" applyNumberFormat="1" applyFont="1" applyFill="1" applyBorder="1" applyAlignment="1">
      <alignment shrinkToFit="1"/>
    </xf>
    <xf numFmtId="178" fontId="25" fillId="0" borderId="10" xfId="0" applyNumberFormat="1" applyFont="1" applyFill="1" applyBorder="1" applyAlignment="1">
      <alignment shrinkToFit="1"/>
    </xf>
    <xf numFmtId="0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 indent="1"/>
    </xf>
    <xf numFmtId="170" fontId="17" fillId="25" borderId="10" xfId="0" applyNumberFormat="1" applyFont="1" applyFill="1" applyBorder="1" applyAlignment="1">
      <alignment shrinkToFit="1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0" fontId="10" fillId="25" borderId="10" xfId="0" applyNumberFormat="1" applyFont="1" applyFill="1" applyBorder="1" applyAlignment="1">
      <alignment shrinkToFit="1"/>
    </xf>
    <xf numFmtId="2" fontId="0" fillId="0" borderId="0" xfId="0" applyNumberFormat="1" applyFont="1" applyFill="1" applyAlignment="1">
      <alignment/>
    </xf>
    <xf numFmtId="180" fontId="17" fillId="25" borderId="10" xfId="0" applyNumberFormat="1" applyFont="1" applyFill="1" applyBorder="1" applyAlignment="1">
      <alignment shrinkToFit="1"/>
    </xf>
    <xf numFmtId="4" fontId="17" fillId="25" borderId="10" xfId="0" applyNumberFormat="1" applyFont="1" applyFill="1" applyBorder="1" applyAlignment="1">
      <alignment shrinkToFit="1"/>
    </xf>
    <xf numFmtId="0" fontId="14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4" fillId="0" borderId="10" xfId="0" applyFont="1" applyFill="1" applyBorder="1" applyAlignment="1">
      <alignment shrinkToFit="1"/>
    </xf>
    <xf numFmtId="168" fontId="14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0" fontId="0" fillId="25" borderId="0" xfId="0" applyFill="1" applyAlignment="1">
      <alignment/>
    </xf>
    <xf numFmtId="2" fontId="14" fillId="25" borderId="10" xfId="0" applyNumberFormat="1" applyFont="1" applyFill="1" applyBorder="1" applyAlignment="1">
      <alignment shrinkToFit="1"/>
    </xf>
    <xf numFmtId="0" fontId="14" fillId="25" borderId="10" xfId="0" applyFont="1" applyFill="1" applyBorder="1" applyAlignment="1">
      <alignment wrapText="1"/>
    </xf>
    <xf numFmtId="168" fontId="29" fillId="0" borderId="10" xfId="0" applyNumberFormat="1" applyFont="1" applyFill="1" applyBorder="1" applyAlignment="1">
      <alignment shrinkToFit="1"/>
    </xf>
    <xf numFmtId="0" fontId="0" fillId="24" borderId="0" xfId="0" applyFill="1" applyAlignment="1">
      <alignment/>
    </xf>
    <xf numFmtId="0" fontId="14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wrapText="1"/>
    </xf>
    <xf numFmtId="0" fontId="17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horizontal="left" indent="1" shrinkToFit="1"/>
    </xf>
    <xf numFmtId="0" fontId="14" fillId="24" borderId="17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wrapText="1"/>
    </xf>
    <xf numFmtId="2" fontId="14" fillId="24" borderId="10" xfId="0" applyNumberFormat="1" applyFont="1" applyFill="1" applyBorder="1" applyAlignment="1">
      <alignment shrinkToFit="1"/>
    </xf>
    <xf numFmtId="168" fontId="9" fillId="25" borderId="10" xfId="0" applyNumberFormat="1" applyFont="1" applyFill="1" applyBorder="1" applyAlignment="1">
      <alignment shrinkToFit="1"/>
    </xf>
    <xf numFmtId="0" fontId="9" fillId="25" borderId="10" xfId="0" applyNumberFormat="1" applyFont="1" applyFill="1" applyBorder="1" applyAlignment="1">
      <alignment shrinkToFit="1"/>
    </xf>
    <xf numFmtId="0" fontId="1" fillId="25" borderId="10" xfId="0" applyNumberFormat="1" applyFont="1" applyFill="1" applyBorder="1" applyAlignment="1">
      <alignment horizontal="center" shrinkToFit="1"/>
    </xf>
    <xf numFmtId="0" fontId="14" fillId="25" borderId="10" xfId="0" applyNumberFormat="1" applyFont="1" applyFill="1" applyBorder="1" applyAlignment="1">
      <alignment shrinkToFit="1"/>
    </xf>
    <xf numFmtId="168" fontId="14" fillId="25" borderId="10" xfId="0" applyNumberFormat="1" applyFont="1" applyFill="1" applyBorder="1" applyAlignment="1">
      <alignment shrinkToFit="1"/>
    </xf>
    <xf numFmtId="0" fontId="1" fillId="25" borderId="0" xfId="0" applyFont="1" applyFill="1" applyAlignment="1">
      <alignment/>
    </xf>
    <xf numFmtId="0" fontId="14" fillId="25" borderId="10" xfId="0" applyFont="1" applyFill="1" applyBorder="1" applyAlignment="1">
      <alignment shrinkToFit="1"/>
    </xf>
    <xf numFmtId="0" fontId="14" fillId="25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3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indent="8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33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" fontId="36" fillId="0" borderId="20" xfId="0" applyNumberFormat="1" applyFont="1" applyBorder="1" applyAlignment="1">
      <alignment horizontal="right" vertical="top" wrapText="1"/>
    </xf>
    <xf numFmtId="4" fontId="36" fillId="0" borderId="20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horizontal="right" vertical="top" wrapText="1"/>
    </xf>
    <xf numFmtId="4" fontId="37" fillId="0" borderId="20" xfId="0" applyNumberFormat="1" applyFont="1" applyBorder="1" applyAlignment="1">
      <alignment horizontal="right" vertical="top" wrapText="1"/>
    </xf>
    <xf numFmtId="4" fontId="37" fillId="0" borderId="20" xfId="0" applyNumberFormat="1" applyFont="1" applyBorder="1" applyAlignment="1">
      <alignment wrapText="1"/>
    </xf>
    <xf numFmtId="0" fontId="6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 wrapText="1"/>
    </xf>
    <xf numFmtId="4" fontId="36" fillId="0" borderId="20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36" fillId="0" borderId="21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center" wrapText="1"/>
    </xf>
    <xf numFmtId="4" fontId="38" fillId="0" borderId="20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" fontId="37" fillId="0" borderId="24" xfId="0" applyNumberFormat="1" applyFont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" fontId="5" fillId="0" borderId="24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36" fillId="0" borderId="24" xfId="0" applyNumberFormat="1" applyFont="1" applyBorder="1" applyAlignment="1">
      <alignment wrapText="1"/>
    </xf>
    <xf numFmtId="4" fontId="36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" fontId="37" fillId="0" borderId="23" xfId="0" applyNumberFormat="1" applyFont="1" applyBorder="1" applyAlignment="1">
      <alignment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4" fontId="5" fillId="0" borderId="24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1" xfId="0" applyFont="1" applyBorder="1" applyAlignment="1">
      <alignment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4" fontId="5" fillId="0" borderId="31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35" fillId="0" borderId="10" xfId="42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4" fillId="0" borderId="11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4" fontId="5" fillId="0" borderId="24" xfId="0" applyNumberFormat="1" applyFont="1" applyBorder="1" applyAlignment="1">
      <alignment vertical="top" wrapText="1"/>
    </xf>
    <xf numFmtId="4" fontId="5" fillId="0" borderId="23" xfId="0" applyNumberFormat="1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center" vertical="top" wrapText="1"/>
    </xf>
    <xf numFmtId="1" fontId="34" fillId="0" borderId="10" xfId="0" applyNumberFormat="1" applyFont="1" applyBorder="1" applyAlignment="1">
      <alignment horizontal="left" vertical="top" wrapText="1"/>
    </xf>
    <xf numFmtId="14" fontId="34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14" fillId="24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3486150"/>
          <a:ext cx="6629400" cy="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     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Ротто Т.В.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подпись                      расшифровка подписи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2028825"/>
          <a:ext cx="6629400" cy="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     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Ротто Т.В.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подпись                      расшифровка подписи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2028825"/>
          <a:ext cx="6629400" cy="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     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Ротто Т.В.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подпись                      расшифровка подписи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3324225"/>
          <a:ext cx="6629400" cy="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      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Ротто Т.В.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подпись                      расшифровка подписи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40;&#1087;&#1087;&#1072;&#1088;&#1072;&#1090;\&#1040;&#1087;&#1064;&#1090;&#1072;&#1090;&#1085;&#1099;&#1077;&#1056;&#1072;&#1089;&#1087;&#1080;&#1089;&#1072;&#1085;&#1080;&#1103;\2004\&#1064;&#1090;&#1056;&#1089;&#1087;&#1040;&#1087;-&#1090;&#1052;&#1050;&#1080;&#1053;&#1055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5.%20&#1052;&#1086;&#1085;&#1080;&#1090;&#1086;&#1088;&#1080;&#1085;&#1075;\1.%20&#1082;%2010%20&#1084;&#1072;&#1088;&#1090;&#1072;%202009%20&#1075;&#1086;&#1076;&#1072;\0.%20&#1057;&#1042;&#1054;&#1044;%20-%20&#1048;&#1085;&#1092;&#1052;&#1060;&#1054;&#1058;_11.08-12.08,11.08-01.09&#1080;02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8;&#1088;&#1080;&#1085;&#1072;\&#1052;&#1086;&#1080;%20&#1076;&#1086;&#1082;&#1091;&#1084;&#1077;&#1085;&#1090;&#1099;\Downloads\5.3.&#1060;&#1086;&#1088;&#1084;_211,213%201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1 октября"/>
      <sheetName val="ПрилШтРсп1окт- Надб8и6,5окл"/>
      <sheetName val="ПрилШтРспГОД"/>
      <sheetName val="с 11 сентября"/>
      <sheetName val="ПрилШтРсп11сент-Надб19и6,5ФОТ"/>
      <sheetName val="ПрилШтРсп11сент-Надб19и6,5ФОТшт"/>
      <sheetName val="с 28 мая"/>
      <sheetName val="Структура"/>
      <sheetName val="ПрилШтРсп28май- Надб19и6,5ФОТ"/>
      <sheetName val="ПрилШтРсп28май- Надб19и6,5ФОТш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а_План"/>
      <sheetName val="ф1б_Факт"/>
      <sheetName val="ф2_Руководители"/>
      <sheetName val="СписокУч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2.1. Повыш_КосвЗат"/>
      <sheetName val="2.2. КомпВыпл_КосвЗат"/>
      <sheetName val="2.3. СтимВыпл_КосвЗа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vchenko_2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="60" zoomScalePageLayoutView="0" workbookViewId="0" topLeftCell="A1">
      <selection activeCell="A32" sqref="A32:G32"/>
    </sheetView>
  </sheetViews>
  <sheetFormatPr defaultColWidth="16.8515625" defaultRowHeight="12.75"/>
  <cols>
    <col min="1" max="4" width="16.8515625" style="156" customWidth="1"/>
    <col min="5" max="5" width="17.140625" style="156" customWidth="1"/>
    <col min="6" max="6" width="16.28125" style="156" customWidth="1"/>
    <col min="7" max="7" width="16.8515625" style="156" hidden="1" customWidth="1"/>
    <col min="8" max="16384" width="16.8515625" style="156" customWidth="1"/>
  </cols>
  <sheetData>
    <row r="1" spans="1:13" ht="15.75">
      <c r="A1" s="239" t="s">
        <v>179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.75">
      <c r="A2" s="239" t="s">
        <v>180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.75">
      <c r="A3" s="239" t="s">
        <v>181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5.75">
      <c r="A4" s="239" t="s">
        <v>182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ht="15.75">
      <c r="A5" s="157"/>
    </row>
    <row r="6" ht="15.75">
      <c r="A6" s="157"/>
    </row>
    <row r="7" ht="15.75">
      <c r="A7" s="157"/>
    </row>
    <row r="8" spans="10:13" ht="15.75">
      <c r="J8" s="240" t="s">
        <v>183</v>
      </c>
      <c r="K8" s="240"/>
      <c r="L8" s="240"/>
      <c r="M8" s="240"/>
    </row>
    <row r="9" spans="1:13" ht="15.75">
      <c r="A9" s="159"/>
      <c r="B9" s="160"/>
      <c r="C9" s="160"/>
      <c r="D9" s="160"/>
      <c r="E9" s="160"/>
      <c r="F9" s="160"/>
      <c r="G9" s="160"/>
      <c r="H9" s="160"/>
      <c r="I9" s="160"/>
      <c r="J9" s="234" t="s">
        <v>349</v>
      </c>
      <c r="K9" s="234"/>
      <c r="L9" s="234"/>
      <c r="M9" s="234"/>
    </row>
    <row r="10" spans="1:13" ht="15.75">
      <c r="A10" s="160"/>
      <c r="B10" s="160"/>
      <c r="C10" s="160"/>
      <c r="D10" s="160"/>
      <c r="E10" s="160"/>
      <c r="F10" s="160"/>
      <c r="G10" s="160"/>
      <c r="H10" s="161"/>
      <c r="I10" s="160"/>
      <c r="J10" s="234" t="s">
        <v>184</v>
      </c>
      <c r="K10" s="234"/>
      <c r="L10" s="234"/>
      <c r="M10" s="234"/>
    </row>
    <row r="11" spans="2:13" ht="15.75">
      <c r="B11" s="160"/>
      <c r="C11" s="160"/>
      <c r="D11" s="160"/>
      <c r="E11" s="160"/>
      <c r="F11" s="160"/>
      <c r="G11" s="160"/>
      <c r="H11" s="160"/>
      <c r="J11" s="234" t="s">
        <v>185</v>
      </c>
      <c r="K11" s="234"/>
      <c r="L11" s="234"/>
      <c r="M11" s="234"/>
    </row>
    <row r="12" spans="2:13" ht="15.75">
      <c r="B12" s="160"/>
      <c r="C12" s="160"/>
      <c r="D12" s="160"/>
      <c r="E12" s="160"/>
      <c r="F12" s="160"/>
      <c r="G12" s="160"/>
      <c r="H12" s="160"/>
      <c r="I12" s="160"/>
      <c r="J12" s="162"/>
      <c r="K12" s="163"/>
      <c r="L12" s="163"/>
      <c r="M12" s="158" t="s">
        <v>186</v>
      </c>
    </row>
    <row r="13" spans="2:13" ht="15.75">
      <c r="B13" s="160"/>
      <c r="C13" s="160"/>
      <c r="D13" s="160"/>
      <c r="E13" s="160"/>
      <c r="F13" s="160"/>
      <c r="G13" s="160"/>
      <c r="H13" s="160"/>
      <c r="I13" s="160"/>
      <c r="J13" s="163"/>
      <c r="K13" s="162"/>
      <c r="L13" s="163"/>
      <c r="M13" s="158" t="s">
        <v>355</v>
      </c>
    </row>
    <row r="14" spans="1:13" ht="15.75">
      <c r="A14" s="164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ht="15.75">
      <c r="A15" s="155"/>
    </row>
    <row r="16" spans="1:13" ht="12.75" customHeight="1">
      <c r="A16" s="235" t="s">
        <v>187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  <row r="17" spans="1:13" ht="15.75">
      <c r="A17" s="235" t="s">
        <v>348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ht="15.75">
      <c r="A18" s="165"/>
    </row>
    <row r="19" spans="1:13" ht="30.75" customHeight="1">
      <c r="A19" s="236" t="s">
        <v>188</v>
      </c>
      <c r="B19" s="237"/>
      <c r="C19" s="237"/>
      <c r="D19" s="237"/>
      <c r="E19" s="237"/>
      <c r="F19" s="237"/>
      <c r="G19" s="237"/>
      <c r="H19" s="238" t="s">
        <v>341</v>
      </c>
      <c r="I19" s="238"/>
      <c r="J19" s="238"/>
      <c r="K19" s="238"/>
      <c r="L19" s="238"/>
      <c r="M19" s="238"/>
    </row>
    <row r="20" spans="1:13" ht="15.75">
      <c r="A20" s="231" t="s">
        <v>189</v>
      </c>
      <c r="B20" s="231"/>
      <c r="C20" s="231"/>
      <c r="D20" s="231"/>
      <c r="E20" s="231"/>
      <c r="F20" s="231"/>
      <c r="G20" s="231"/>
      <c r="H20" s="232" t="s">
        <v>342</v>
      </c>
      <c r="I20" s="232"/>
      <c r="J20" s="232"/>
      <c r="K20" s="232"/>
      <c r="L20" s="232"/>
      <c r="M20" s="232"/>
    </row>
    <row r="21" spans="1:13" ht="15.75">
      <c r="A21" s="231" t="s">
        <v>190</v>
      </c>
      <c r="B21" s="231"/>
      <c r="C21" s="231"/>
      <c r="D21" s="231"/>
      <c r="E21" s="231"/>
      <c r="F21" s="231"/>
      <c r="G21" s="231"/>
      <c r="H21" s="232" t="s">
        <v>342</v>
      </c>
      <c r="I21" s="232"/>
      <c r="J21" s="232"/>
      <c r="K21" s="232"/>
      <c r="L21" s="232"/>
      <c r="M21" s="232"/>
    </row>
    <row r="22" spans="1:13" ht="15.75">
      <c r="A22" s="231" t="s">
        <v>191</v>
      </c>
      <c r="B22" s="231"/>
      <c r="C22" s="231"/>
      <c r="D22" s="231"/>
      <c r="E22" s="231"/>
      <c r="F22" s="231"/>
      <c r="G22" s="231"/>
      <c r="H22" s="232" t="s">
        <v>343</v>
      </c>
      <c r="I22" s="232"/>
      <c r="J22" s="232"/>
      <c r="K22" s="232"/>
      <c r="L22" s="232"/>
      <c r="M22" s="232"/>
    </row>
    <row r="23" spans="1:13" ht="15.75">
      <c r="A23" s="231" t="s">
        <v>192</v>
      </c>
      <c r="B23" s="231"/>
      <c r="C23" s="231"/>
      <c r="D23" s="231"/>
      <c r="E23" s="231"/>
      <c r="F23" s="231"/>
      <c r="G23" s="231"/>
      <c r="H23" s="252">
        <v>1021100934799</v>
      </c>
      <c r="I23" s="252"/>
      <c r="J23" s="252"/>
      <c r="K23" s="252"/>
      <c r="L23" s="252"/>
      <c r="M23" s="252"/>
    </row>
    <row r="24" spans="1:13" ht="15.75">
      <c r="A24" s="231" t="s">
        <v>193</v>
      </c>
      <c r="B24" s="231"/>
      <c r="C24" s="231"/>
      <c r="D24" s="231"/>
      <c r="E24" s="231"/>
      <c r="F24" s="231"/>
      <c r="G24" s="231"/>
      <c r="H24" s="253">
        <v>40938</v>
      </c>
      <c r="I24" s="232"/>
      <c r="J24" s="232"/>
      <c r="K24" s="232"/>
      <c r="L24" s="232"/>
      <c r="M24" s="232"/>
    </row>
    <row r="25" spans="1:13" ht="37.5" customHeight="1">
      <c r="A25" s="231" t="s">
        <v>194</v>
      </c>
      <c r="B25" s="231"/>
      <c r="C25" s="231"/>
      <c r="D25" s="231"/>
      <c r="E25" s="231"/>
      <c r="F25" s="231"/>
      <c r="G25" s="231"/>
      <c r="H25" s="232" t="s">
        <v>335</v>
      </c>
      <c r="I25" s="232"/>
      <c r="J25" s="232"/>
      <c r="K25" s="232"/>
      <c r="L25" s="232"/>
      <c r="M25" s="232"/>
    </row>
    <row r="26" spans="1:13" ht="15.75">
      <c r="A26" s="231" t="s">
        <v>195</v>
      </c>
      <c r="B26" s="231"/>
      <c r="C26" s="231"/>
      <c r="D26" s="231"/>
      <c r="E26" s="231"/>
      <c r="F26" s="231"/>
      <c r="G26" s="231"/>
      <c r="H26" s="232" t="s">
        <v>342</v>
      </c>
      <c r="I26" s="232"/>
      <c r="J26" s="232"/>
      <c r="K26" s="232"/>
      <c r="L26" s="232"/>
      <c r="M26" s="232"/>
    </row>
    <row r="27" spans="1:13" ht="15.75">
      <c r="A27" s="231" t="s">
        <v>196</v>
      </c>
      <c r="B27" s="231"/>
      <c r="C27" s="231"/>
      <c r="D27" s="231"/>
      <c r="E27" s="231"/>
      <c r="F27" s="231"/>
      <c r="G27" s="231"/>
      <c r="H27" s="232">
        <v>88214621601</v>
      </c>
      <c r="I27" s="232"/>
      <c r="J27" s="232"/>
      <c r="K27" s="232"/>
      <c r="L27" s="232"/>
      <c r="M27" s="232"/>
    </row>
    <row r="28" spans="1:13" ht="15.75">
      <c r="A28" s="231" t="s">
        <v>197</v>
      </c>
      <c r="B28" s="231"/>
      <c r="C28" s="231"/>
      <c r="D28" s="231"/>
      <c r="E28" s="231"/>
      <c r="F28" s="231"/>
      <c r="G28" s="231"/>
      <c r="H28" s="232">
        <v>88214622848</v>
      </c>
      <c r="I28" s="232"/>
      <c r="J28" s="232"/>
      <c r="K28" s="232"/>
      <c r="L28" s="232"/>
      <c r="M28" s="232"/>
    </row>
    <row r="29" spans="1:13" ht="14.25" customHeight="1">
      <c r="A29" s="231" t="s">
        <v>198</v>
      </c>
      <c r="B29" s="231"/>
      <c r="C29" s="231"/>
      <c r="D29" s="231"/>
      <c r="E29" s="231"/>
      <c r="F29" s="231"/>
      <c r="G29" s="231"/>
      <c r="H29" s="233" t="s">
        <v>344</v>
      </c>
      <c r="I29" s="232"/>
      <c r="J29" s="232"/>
      <c r="K29" s="232"/>
      <c r="L29" s="232"/>
      <c r="M29" s="232"/>
    </row>
    <row r="30" spans="1:13" ht="15.75">
      <c r="A30" s="231" t="s">
        <v>199</v>
      </c>
      <c r="B30" s="231"/>
      <c r="C30" s="231"/>
      <c r="D30" s="231"/>
      <c r="E30" s="231"/>
      <c r="F30" s="231"/>
      <c r="G30" s="231"/>
      <c r="H30" s="232" t="s">
        <v>345</v>
      </c>
      <c r="I30" s="232"/>
      <c r="J30" s="232"/>
      <c r="K30" s="232"/>
      <c r="L30" s="232"/>
      <c r="M30" s="232"/>
    </row>
    <row r="31" spans="1:13" ht="15.75">
      <c r="A31" s="231" t="s">
        <v>336</v>
      </c>
      <c r="B31" s="231"/>
      <c r="C31" s="231"/>
      <c r="D31" s="231"/>
      <c r="E31" s="231"/>
      <c r="F31" s="231"/>
      <c r="G31" s="231"/>
      <c r="H31" s="232" t="s">
        <v>334</v>
      </c>
      <c r="I31" s="232"/>
      <c r="J31" s="232"/>
      <c r="K31" s="232"/>
      <c r="L31" s="232"/>
      <c r="M31" s="232"/>
    </row>
    <row r="32" spans="1:13" ht="15.75">
      <c r="A32" s="231" t="s">
        <v>200</v>
      </c>
      <c r="B32" s="231"/>
      <c r="C32" s="231"/>
      <c r="D32" s="231"/>
      <c r="E32" s="231"/>
      <c r="F32" s="231"/>
      <c r="G32" s="231"/>
      <c r="H32" s="232" t="s">
        <v>337</v>
      </c>
      <c r="I32" s="232"/>
      <c r="J32" s="232"/>
      <c r="K32" s="232"/>
      <c r="L32" s="232"/>
      <c r="M32" s="232"/>
    </row>
    <row r="33" spans="1:13" ht="15.75">
      <c r="A33" s="231" t="s">
        <v>201</v>
      </c>
      <c r="B33" s="231"/>
      <c r="C33" s="231"/>
      <c r="D33" s="231"/>
      <c r="E33" s="231"/>
      <c r="F33" s="231"/>
      <c r="G33" s="231"/>
      <c r="H33" s="232">
        <v>29665789</v>
      </c>
      <c r="I33" s="232"/>
      <c r="J33" s="232"/>
      <c r="K33" s="232"/>
      <c r="L33" s="232"/>
      <c r="M33" s="232"/>
    </row>
    <row r="34" spans="1:13" ht="15.75">
      <c r="A34" s="231" t="s">
        <v>202</v>
      </c>
      <c r="B34" s="231"/>
      <c r="C34" s="231"/>
      <c r="D34" s="231"/>
      <c r="E34" s="231"/>
      <c r="F34" s="231"/>
      <c r="G34" s="231"/>
      <c r="H34" s="232">
        <v>14</v>
      </c>
      <c r="I34" s="232"/>
      <c r="J34" s="232"/>
      <c r="K34" s="232"/>
      <c r="L34" s="232"/>
      <c r="M34" s="232"/>
    </row>
    <row r="35" spans="1:13" ht="15.75">
      <c r="A35" s="231" t="s">
        <v>203</v>
      </c>
      <c r="B35" s="231"/>
      <c r="C35" s="231"/>
      <c r="D35" s="231"/>
      <c r="E35" s="231"/>
      <c r="F35" s="231"/>
      <c r="G35" s="231"/>
      <c r="H35" s="232">
        <v>87412000000</v>
      </c>
      <c r="I35" s="232"/>
      <c r="J35" s="232"/>
      <c r="K35" s="232"/>
      <c r="L35" s="232"/>
      <c r="M35" s="232"/>
    </row>
    <row r="36" spans="1:13" ht="15.75">
      <c r="A36" s="231" t="s">
        <v>204</v>
      </c>
      <c r="B36" s="231"/>
      <c r="C36" s="231"/>
      <c r="D36" s="231"/>
      <c r="E36" s="231"/>
      <c r="F36" s="231"/>
      <c r="G36" s="231"/>
      <c r="H36" s="232">
        <v>72</v>
      </c>
      <c r="I36" s="232"/>
      <c r="J36" s="232"/>
      <c r="K36" s="232"/>
      <c r="L36" s="232"/>
      <c r="M36" s="232"/>
    </row>
    <row r="37" spans="1:13" ht="15.75">
      <c r="A37" s="231" t="s">
        <v>205</v>
      </c>
      <c r="B37" s="231"/>
      <c r="C37" s="231"/>
      <c r="D37" s="231"/>
      <c r="E37" s="231"/>
      <c r="F37" s="231"/>
      <c r="G37" s="231"/>
      <c r="H37" s="232">
        <v>4210007</v>
      </c>
      <c r="I37" s="232"/>
      <c r="J37" s="232"/>
      <c r="K37" s="232"/>
      <c r="L37" s="232"/>
      <c r="M37" s="232"/>
    </row>
    <row r="38" spans="1:13" ht="15.75">
      <c r="A38" s="231" t="s">
        <v>206</v>
      </c>
      <c r="B38" s="231"/>
      <c r="C38" s="231"/>
      <c r="D38" s="231"/>
      <c r="E38" s="231"/>
      <c r="F38" s="231"/>
      <c r="G38" s="231"/>
      <c r="H38" s="232"/>
      <c r="I38" s="232"/>
      <c r="J38" s="232"/>
      <c r="K38" s="232"/>
      <c r="L38" s="232"/>
      <c r="M38" s="232"/>
    </row>
    <row r="39" spans="1:13" ht="15.75">
      <c r="A39" s="231" t="s">
        <v>207</v>
      </c>
      <c r="B39" s="231"/>
      <c r="C39" s="231"/>
      <c r="D39" s="231"/>
      <c r="E39" s="231"/>
      <c r="F39" s="231"/>
      <c r="G39" s="231"/>
      <c r="H39" s="232"/>
      <c r="I39" s="232"/>
      <c r="J39" s="232"/>
      <c r="K39" s="232"/>
      <c r="L39" s="232"/>
      <c r="M39" s="232"/>
    </row>
    <row r="41" ht="15.75">
      <c r="A41" s="166" t="s">
        <v>208</v>
      </c>
    </row>
    <row r="43" ht="15.75">
      <c r="A43" s="156" t="s">
        <v>209</v>
      </c>
    </row>
    <row r="45" ht="15.75">
      <c r="A45" s="156" t="s">
        <v>210</v>
      </c>
    </row>
    <row r="47" ht="15.75">
      <c r="A47" s="156" t="s">
        <v>211</v>
      </c>
    </row>
    <row r="49" ht="15.75">
      <c r="A49" s="156" t="s">
        <v>212</v>
      </c>
    </row>
    <row r="51" ht="15.75">
      <c r="A51" s="166" t="s">
        <v>213</v>
      </c>
    </row>
    <row r="52" ht="16.5" thickBot="1"/>
    <row r="53" spans="1:13" ht="16.5" thickBot="1">
      <c r="A53" s="191" t="s">
        <v>214</v>
      </c>
      <c r="B53" s="230"/>
      <c r="C53" s="230"/>
      <c r="D53" s="230"/>
      <c r="E53" s="230"/>
      <c r="F53" s="230"/>
      <c r="G53" s="230"/>
      <c r="H53" s="230"/>
      <c r="I53" s="230"/>
      <c r="J53" s="230"/>
      <c r="K53" s="192"/>
      <c r="L53" s="191" t="s">
        <v>215</v>
      </c>
      <c r="M53" s="192"/>
    </row>
    <row r="54" spans="1:13" ht="15" customHeight="1" thickBot="1">
      <c r="A54" s="193" t="s">
        <v>356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87"/>
      <c r="L54" s="225">
        <f>L56+L62</f>
        <v>140259137.79000002</v>
      </c>
      <c r="M54" s="226"/>
    </row>
    <row r="55" spans="1:13" ht="16.5" thickBot="1">
      <c r="A55" s="200" t="s">
        <v>216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2"/>
      <c r="L55" s="219"/>
      <c r="M55" s="220"/>
    </row>
    <row r="56" spans="1:13" ht="16.5" thickBot="1">
      <c r="A56" s="200" t="s">
        <v>217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2"/>
      <c r="L56" s="227">
        <f>L58</f>
        <v>131681987.43</v>
      </c>
      <c r="M56" s="228"/>
    </row>
    <row r="57" spans="1:13" ht="16.5" thickBot="1">
      <c r="A57" s="200" t="s">
        <v>218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2"/>
      <c r="L57" s="219"/>
      <c r="M57" s="220"/>
    </row>
    <row r="58" spans="1:13" ht="30" customHeight="1" thickBot="1">
      <c r="A58" s="200" t="s">
        <v>219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2"/>
      <c r="L58" s="219">
        <v>131681987.43</v>
      </c>
      <c r="M58" s="220"/>
    </row>
    <row r="59" spans="1:13" ht="30" customHeight="1" thickBot="1">
      <c r="A59" s="200" t="s">
        <v>220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2"/>
      <c r="L59" s="219">
        <v>0</v>
      </c>
      <c r="M59" s="229"/>
    </row>
    <row r="60" spans="1:13" ht="30" customHeight="1" thickBot="1">
      <c r="A60" s="200" t="s">
        <v>221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2"/>
      <c r="L60" s="219">
        <v>0</v>
      </c>
      <c r="M60" s="220"/>
    </row>
    <row r="61" spans="1:13" ht="16.5" thickBot="1">
      <c r="A61" s="200" t="s">
        <v>222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2"/>
      <c r="L61" s="223">
        <v>67318256.55</v>
      </c>
      <c r="M61" s="224"/>
    </row>
    <row r="62" spans="1:13" ht="16.5" thickBot="1">
      <c r="A62" s="200" t="s">
        <v>223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2"/>
      <c r="L62" s="227">
        <f>L64</f>
        <v>8577150.36</v>
      </c>
      <c r="M62" s="228"/>
    </row>
    <row r="63" spans="1:13" ht="16.5" thickBot="1">
      <c r="A63" s="200" t="s">
        <v>218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2"/>
      <c r="L63" s="219"/>
      <c r="M63" s="220"/>
    </row>
    <row r="64" spans="1:13" ht="16.5" thickBot="1">
      <c r="A64" s="200" t="s">
        <v>224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2"/>
      <c r="L64" s="219">
        <v>8577150.36</v>
      </c>
      <c r="M64" s="220"/>
    </row>
    <row r="65" spans="1:13" ht="16.5" thickBot="1">
      <c r="A65" s="200" t="s">
        <v>225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2"/>
      <c r="L65" s="223">
        <v>672436.92</v>
      </c>
      <c r="M65" s="224"/>
    </row>
    <row r="66" spans="1:13" ht="16.5" thickBot="1">
      <c r="A66" s="193" t="s">
        <v>226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87"/>
      <c r="L66" s="225"/>
      <c r="M66" s="226"/>
    </row>
    <row r="67" spans="1:13" ht="16.5" thickBot="1">
      <c r="A67" s="200" t="s">
        <v>216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2"/>
      <c r="L67" s="219"/>
      <c r="M67" s="220"/>
    </row>
    <row r="68" spans="1:13" ht="30" customHeight="1" thickBot="1">
      <c r="A68" s="200" t="s">
        <v>227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  <c r="L68" s="219">
        <v>0</v>
      </c>
      <c r="M68" s="220"/>
    </row>
    <row r="69" spans="1:13" ht="30" customHeight="1" thickBot="1">
      <c r="A69" s="200" t="s">
        <v>228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  <c r="L69" s="219">
        <v>0</v>
      </c>
      <c r="M69" s="220"/>
    </row>
    <row r="70" spans="1:13" ht="16.5" thickBot="1">
      <c r="A70" s="200" t="s">
        <v>218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2"/>
      <c r="L70" s="219"/>
      <c r="M70" s="220"/>
    </row>
    <row r="71" spans="1:13" ht="16.5" thickBot="1">
      <c r="A71" s="200" t="s">
        <v>229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2"/>
      <c r="L71" s="219">
        <v>0</v>
      </c>
      <c r="M71" s="220"/>
    </row>
    <row r="72" spans="1:13" ht="16.5" thickBot="1">
      <c r="A72" s="200" t="s">
        <v>230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2"/>
      <c r="L72" s="219">
        <v>0</v>
      </c>
      <c r="M72" s="220"/>
    </row>
    <row r="73" spans="1:13" ht="16.5" thickBot="1">
      <c r="A73" s="200" t="s">
        <v>231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2"/>
      <c r="L73" s="219">
        <v>0</v>
      </c>
      <c r="M73" s="220"/>
    </row>
    <row r="74" spans="1:13" ht="16.5" thickBot="1">
      <c r="A74" s="200" t="s">
        <v>232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2"/>
      <c r="L74" s="219">
        <v>0</v>
      </c>
      <c r="M74" s="220"/>
    </row>
    <row r="75" spans="1:13" ht="16.5" thickBot="1">
      <c r="A75" s="200" t="s">
        <v>233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2"/>
      <c r="L75" s="219">
        <v>0</v>
      </c>
      <c r="M75" s="220"/>
    </row>
    <row r="76" spans="1:13" ht="16.5" thickBot="1">
      <c r="A76" s="200" t="s">
        <v>234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2"/>
      <c r="L76" s="219">
        <v>0</v>
      </c>
      <c r="M76" s="220"/>
    </row>
    <row r="77" spans="1:13" ht="16.5" thickBot="1">
      <c r="A77" s="200" t="s">
        <v>235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2"/>
      <c r="L77" s="219">
        <v>0</v>
      </c>
      <c r="M77" s="220"/>
    </row>
    <row r="78" spans="1:13" ht="16.5" thickBot="1">
      <c r="A78" s="200" t="s">
        <v>236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2"/>
      <c r="L78" s="219">
        <v>0</v>
      </c>
      <c r="M78" s="220"/>
    </row>
    <row r="79" spans="1:13" ht="16.5" thickBot="1">
      <c r="A79" s="200" t="s">
        <v>237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2"/>
      <c r="L79" s="219">
        <v>0</v>
      </c>
      <c r="M79" s="220"/>
    </row>
    <row r="80" spans="1:13" ht="16.5" thickBot="1">
      <c r="A80" s="200" t="s">
        <v>238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2"/>
      <c r="L80" s="219">
        <v>0</v>
      </c>
      <c r="M80" s="220"/>
    </row>
    <row r="81" spans="1:13" ht="30" customHeight="1" thickBot="1">
      <c r="A81" s="200" t="s">
        <v>239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50"/>
      <c r="L81" s="251">
        <v>0</v>
      </c>
      <c r="M81" s="220"/>
    </row>
    <row r="82" spans="1:13" ht="16.5" thickBot="1">
      <c r="A82" s="200" t="s">
        <v>218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2"/>
      <c r="L82" s="219"/>
      <c r="M82" s="220"/>
    </row>
    <row r="83" spans="1:13" ht="16.5" thickBot="1">
      <c r="A83" s="200" t="s">
        <v>240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2"/>
      <c r="L83" s="219">
        <v>0</v>
      </c>
      <c r="M83" s="220"/>
    </row>
    <row r="84" spans="1:13" ht="16.5" thickBot="1">
      <c r="A84" s="200" t="s">
        <v>241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2"/>
      <c r="L84" s="219">
        <v>0</v>
      </c>
      <c r="M84" s="220"/>
    </row>
    <row r="85" spans="1:13" ht="16.5" thickBot="1">
      <c r="A85" s="200" t="s">
        <v>242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2"/>
      <c r="L85" s="219">
        <v>0</v>
      </c>
      <c r="M85" s="220"/>
    </row>
    <row r="86" spans="1:13" ht="16.5" thickBot="1">
      <c r="A86" s="200" t="s">
        <v>243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2"/>
      <c r="L86" s="219">
        <v>0</v>
      </c>
      <c r="M86" s="220"/>
    </row>
    <row r="87" spans="1:13" ht="16.5" thickBot="1">
      <c r="A87" s="200" t="s">
        <v>244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2"/>
      <c r="L87" s="219">
        <v>0</v>
      </c>
      <c r="M87" s="220"/>
    </row>
    <row r="88" spans="1:13" ht="16.5" thickBot="1">
      <c r="A88" s="200" t="s">
        <v>245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2"/>
      <c r="L88" s="219">
        <v>0</v>
      </c>
      <c r="M88" s="220"/>
    </row>
    <row r="89" spans="1:13" ht="16.5" thickBot="1">
      <c r="A89" s="200" t="s">
        <v>246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2"/>
      <c r="L89" s="219">
        <v>0</v>
      </c>
      <c r="M89" s="220"/>
    </row>
    <row r="90" spans="1:13" ht="16.5" thickBot="1">
      <c r="A90" s="200" t="s">
        <v>247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2"/>
      <c r="L90" s="219">
        <v>0</v>
      </c>
      <c r="M90" s="220"/>
    </row>
    <row r="91" spans="1:13" ht="16.5" thickBot="1">
      <c r="A91" s="200" t="s">
        <v>248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2"/>
      <c r="L91" s="219">
        <v>0</v>
      </c>
      <c r="M91" s="220"/>
    </row>
    <row r="92" spans="1:13" ht="16.5" thickBot="1">
      <c r="A92" s="200" t="s">
        <v>249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2"/>
      <c r="L92" s="219">
        <v>0</v>
      </c>
      <c r="M92" s="220"/>
    </row>
    <row r="93" spans="1:13" ht="16.5" thickBot="1">
      <c r="A93" s="193" t="s">
        <v>250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87"/>
      <c r="L93" s="248">
        <f>L96</f>
        <v>0</v>
      </c>
      <c r="M93" s="249"/>
    </row>
    <row r="94" spans="1:13" ht="16.5" thickBot="1">
      <c r="A94" s="200" t="s">
        <v>216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2"/>
      <c r="L94" s="223"/>
      <c r="M94" s="224"/>
    </row>
    <row r="95" spans="1:13" ht="16.5" thickBot="1">
      <c r="A95" s="200" t="s">
        <v>251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2"/>
      <c r="L95" s="223">
        <v>0</v>
      </c>
      <c r="M95" s="224"/>
    </row>
    <row r="96" spans="1:13" ht="30" customHeight="1" thickBot="1">
      <c r="A96" s="200" t="s">
        <v>252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2"/>
      <c r="L96" s="223">
        <v>0</v>
      </c>
      <c r="M96" s="224"/>
    </row>
    <row r="97" spans="1:13" ht="16.5" thickBot="1">
      <c r="A97" s="200" t="s">
        <v>218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2"/>
      <c r="L97" s="223">
        <v>0</v>
      </c>
      <c r="M97" s="224"/>
    </row>
    <row r="98" spans="1:13" ht="16.5" thickBot="1">
      <c r="A98" s="200" t="s">
        <v>253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2"/>
      <c r="L98" s="223">
        <v>0</v>
      </c>
      <c r="M98" s="224"/>
    </row>
    <row r="99" spans="1:13" ht="16.5" thickBot="1">
      <c r="A99" s="200" t="s">
        <v>254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2"/>
      <c r="L99" s="223">
        <v>0</v>
      </c>
      <c r="M99" s="224"/>
    </row>
    <row r="100" spans="1:13" ht="16.5" thickBot="1">
      <c r="A100" s="200" t="s">
        <v>255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2"/>
      <c r="L100" s="223">
        <v>0</v>
      </c>
      <c r="M100" s="224"/>
    </row>
    <row r="101" spans="1:13" ht="16.5" thickBot="1">
      <c r="A101" s="200" t="s">
        <v>256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2"/>
      <c r="L101" s="223">
        <v>0</v>
      </c>
      <c r="M101" s="224"/>
    </row>
    <row r="102" spans="1:13" ht="16.5" thickBot="1">
      <c r="A102" s="200" t="s">
        <v>257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2"/>
      <c r="L102" s="223">
        <v>0</v>
      </c>
      <c r="M102" s="224"/>
    </row>
    <row r="103" spans="1:13" ht="16.5" thickBot="1">
      <c r="A103" s="200" t="s">
        <v>258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2"/>
      <c r="L103" s="219">
        <v>0</v>
      </c>
      <c r="M103" s="220"/>
    </row>
    <row r="104" spans="1:13" ht="16.5" thickBot="1">
      <c r="A104" s="200" t="s">
        <v>259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2"/>
      <c r="L104" s="219">
        <v>0</v>
      </c>
      <c r="M104" s="220"/>
    </row>
    <row r="105" spans="1:13" ht="16.5" thickBot="1">
      <c r="A105" s="200" t="s">
        <v>260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2"/>
      <c r="L105" s="219">
        <v>0</v>
      </c>
      <c r="M105" s="220"/>
    </row>
    <row r="106" spans="1:13" ht="16.5" thickBot="1">
      <c r="A106" s="200" t="s">
        <v>261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2"/>
      <c r="L106" s="219">
        <v>0</v>
      </c>
      <c r="M106" s="220"/>
    </row>
    <row r="107" spans="1:13" ht="16.5" thickBot="1">
      <c r="A107" s="200" t="s">
        <v>262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2"/>
      <c r="L107" s="219">
        <v>0</v>
      </c>
      <c r="M107" s="220"/>
    </row>
    <row r="108" spans="1:13" ht="16.5" thickBot="1">
      <c r="A108" s="200" t="s">
        <v>263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2"/>
      <c r="L108" s="219">
        <v>0</v>
      </c>
      <c r="M108" s="220"/>
    </row>
    <row r="109" spans="1:13" ht="16.5" thickBot="1">
      <c r="A109" s="200" t="s">
        <v>264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2"/>
      <c r="L109" s="219">
        <v>0</v>
      </c>
      <c r="M109" s="220"/>
    </row>
    <row r="110" spans="1:13" ht="16.5" thickBot="1">
      <c r="A110" s="200" t="s">
        <v>265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2"/>
      <c r="L110" s="219">
        <v>0</v>
      </c>
      <c r="M110" s="220"/>
    </row>
    <row r="111" spans="1:13" ht="30" customHeight="1" thickBot="1">
      <c r="A111" s="200" t="s">
        <v>266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2"/>
      <c r="L111" s="219">
        <f>SUM(L113:M125)</f>
        <v>0</v>
      </c>
      <c r="M111" s="220"/>
    </row>
    <row r="112" spans="1:13" ht="16.5" thickBot="1">
      <c r="A112" s="200" t="s">
        <v>218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2"/>
      <c r="L112" s="219"/>
      <c r="M112" s="220"/>
    </row>
    <row r="113" spans="1:13" ht="16.5" thickBot="1">
      <c r="A113" s="200" t="s">
        <v>267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2"/>
      <c r="L113" s="219">
        <v>0</v>
      </c>
      <c r="M113" s="220"/>
    </row>
    <row r="114" spans="1:13" ht="16.5" thickBot="1">
      <c r="A114" s="200" t="s">
        <v>268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2"/>
      <c r="L114" s="219">
        <v>0</v>
      </c>
      <c r="M114" s="220"/>
    </row>
    <row r="115" spans="1:13" ht="16.5" thickBot="1">
      <c r="A115" s="200" t="s">
        <v>269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2"/>
      <c r="L115" s="219">
        <v>0</v>
      </c>
      <c r="M115" s="220"/>
    </row>
    <row r="116" spans="1:13" ht="16.5" thickBot="1">
      <c r="A116" s="200" t="s">
        <v>270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2"/>
      <c r="L116" s="219">
        <v>0</v>
      </c>
      <c r="M116" s="220"/>
    </row>
    <row r="117" spans="1:13" ht="16.5" thickBot="1">
      <c r="A117" s="200" t="s">
        <v>271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2"/>
      <c r="L117" s="219">
        <v>0</v>
      </c>
      <c r="M117" s="220"/>
    </row>
    <row r="118" spans="1:13" ht="16.5" thickBot="1">
      <c r="A118" s="200" t="s">
        <v>272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2"/>
      <c r="L118" s="219">
        <v>0</v>
      </c>
      <c r="M118" s="220"/>
    </row>
    <row r="119" spans="1:13" ht="16.5" thickBot="1">
      <c r="A119" s="200" t="s">
        <v>273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2"/>
      <c r="L119" s="219">
        <v>0</v>
      </c>
      <c r="M119" s="220"/>
    </row>
    <row r="120" spans="1:13" ht="16.5" thickBot="1">
      <c r="A120" s="200" t="s">
        <v>274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2"/>
      <c r="L120" s="219">
        <v>0</v>
      </c>
      <c r="M120" s="220"/>
    </row>
    <row r="121" spans="1:13" ht="16.5" thickBot="1">
      <c r="A121" s="200" t="s">
        <v>275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2"/>
      <c r="L121" s="219">
        <v>0</v>
      </c>
      <c r="M121" s="220"/>
    </row>
    <row r="122" spans="1:13" ht="16.5" thickBot="1">
      <c r="A122" s="200" t="s">
        <v>276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2"/>
      <c r="L122" s="219">
        <v>0</v>
      </c>
      <c r="M122" s="220"/>
    </row>
    <row r="123" spans="1:13" ht="16.5" thickBot="1">
      <c r="A123" s="200" t="s">
        <v>277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2"/>
      <c r="L123" s="219">
        <v>0</v>
      </c>
      <c r="M123" s="220"/>
    </row>
    <row r="124" spans="1:13" ht="16.5" thickBot="1">
      <c r="A124" s="200" t="s">
        <v>278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2"/>
      <c r="L124" s="219">
        <v>0</v>
      </c>
      <c r="M124" s="220"/>
    </row>
    <row r="125" spans="1:13" ht="16.5" thickBot="1">
      <c r="A125" s="200" t="s">
        <v>279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2"/>
      <c r="L125" s="219">
        <v>0</v>
      </c>
      <c r="M125" s="220"/>
    </row>
    <row r="126" spans="1:13" ht="16.5" thickBot="1">
      <c r="A126" s="193" t="s">
        <v>280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87"/>
      <c r="L126" s="219">
        <v>134.62</v>
      </c>
      <c r="M126" s="220"/>
    </row>
    <row r="127" spans="1:13" ht="16.5" thickBot="1">
      <c r="A127" s="200" t="s">
        <v>281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2"/>
      <c r="L127" s="219"/>
      <c r="M127" s="220"/>
    </row>
    <row r="128" spans="1:13" ht="16.5" thickBot="1">
      <c r="A128" s="193" t="s">
        <v>282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87"/>
      <c r="L128" s="219">
        <v>30217202.04</v>
      </c>
      <c r="M128" s="220"/>
    </row>
    <row r="129" spans="1:13" ht="16.5" thickBot="1">
      <c r="A129" s="193" t="s">
        <v>283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87"/>
      <c r="L129" s="219">
        <f>L128/L126/12</f>
        <v>18705.245654434704</v>
      </c>
      <c r="M129" s="220"/>
    </row>
    <row r="130" spans="1:13" ht="15.75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</row>
    <row r="131" spans="1:13" ht="15.75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</row>
    <row r="132" spans="1:13" ht="15.75">
      <c r="A132" s="221" t="s">
        <v>284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</row>
    <row r="133" spans="1:13" ht="16.5" thickBo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</row>
    <row r="134" spans="1:13" ht="16.5" thickBot="1">
      <c r="A134" s="212" t="s">
        <v>214</v>
      </c>
      <c r="B134" s="198"/>
      <c r="C134" s="198"/>
      <c r="D134" s="198"/>
      <c r="E134" s="198"/>
      <c r="F134" s="213"/>
      <c r="G134" s="212" t="s">
        <v>285</v>
      </c>
      <c r="H134" s="213"/>
      <c r="I134" s="216" t="s">
        <v>286</v>
      </c>
      <c r="J134" s="212" t="s">
        <v>287</v>
      </c>
      <c r="K134" s="213"/>
      <c r="L134" s="191" t="s">
        <v>288</v>
      </c>
      <c r="M134" s="192"/>
    </row>
    <row r="135" spans="1:13" ht="126.75" thickBot="1">
      <c r="A135" s="214"/>
      <c r="B135" s="199"/>
      <c r="C135" s="199"/>
      <c r="D135" s="199"/>
      <c r="E135" s="199"/>
      <c r="F135" s="215"/>
      <c r="G135" s="214"/>
      <c r="H135" s="215"/>
      <c r="I135" s="217"/>
      <c r="J135" s="214"/>
      <c r="K135" s="215"/>
      <c r="L135" s="168" t="s">
        <v>289</v>
      </c>
      <c r="M135" s="168" t="s">
        <v>290</v>
      </c>
    </row>
    <row r="136" spans="1:13" ht="30" customHeight="1" thickBot="1">
      <c r="A136" s="200" t="s">
        <v>291</v>
      </c>
      <c r="B136" s="201"/>
      <c r="C136" s="201"/>
      <c r="D136" s="201"/>
      <c r="E136" s="201"/>
      <c r="F136" s="202"/>
      <c r="G136" s="191" t="s">
        <v>292</v>
      </c>
      <c r="H136" s="192"/>
      <c r="I136" s="169"/>
      <c r="J136" s="243"/>
      <c r="K136" s="244"/>
      <c r="L136" s="170">
        <f>J136</f>
        <v>0</v>
      </c>
      <c r="M136" s="171"/>
    </row>
    <row r="137" spans="1:13" ht="16.5" thickBot="1">
      <c r="A137" s="193" t="s">
        <v>293</v>
      </c>
      <c r="B137" s="194"/>
      <c r="C137" s="194"/>
      <c r="D137" s="194"/>
      <c r="E137" s="194"/>
      <c r="F137" s="187"/>
      <c r="G137" s="191" t="s">
        <v>292</v>
      </c>
      <c r="H137" s="192"/>
      <c r="I137" s="172">
        <f>I139+I141+I145</f>
        <v>46137843.71</v>
      </c>
      <c r="J137" s="207">
        <f>J139+J141+J145</f>
        <v>50218768.56999999</v>
      </c>
      <c r="K137" s="208"/>
      <c r="L137" s="173">
        <f>J137</f>
        <v>50218768.56999999</v>
      </c>
      <c r="M137" s="171"/>
    </row>
    <row r="138" spans="1:13" ht="16.5" thickBot="1">
      <c r="A138" s="200" t="s">
        <v>294</v>
      </c>
      <c r="B138" s="201"/>
      <c r="C138" s="201"/>
      <c r="D138" s="201"/>
      <c r="E138" s="201"/>
      <c r="F138" s="202"/>
      <c r="G138" s="191" t="s">
        <v>292</v>
      </c>
      <c r="H138" s="192"/>
      <c r="I138" s="174"/>
      <c r="J138" s="203"/>
      <c r="K138" s="204"/>
      <c r="L138" s="173"/>
      <c r="M138" s="171"/>
    </row>
    <row r="139" spans="1:15" ht="16.5" thickBot="1">
      <c r="A139" s="200" t="s">
        <v>346</v>
      </c>
      <c r="B139" s="201"/>
      <c r="C139" s="201"/>
      <c r="D139" s="201"/>
      <c r="E139" s="201"/>
      <c r="F139" s="202"/>
      <c r="G139" s="191" t="s">
        <v>292</v>
      </c>
      <c r="H139" s="192"/>
      <c r="I139" s="174">
        <v>5732910</v>
      </c>
      <c r="J139" s="203">
        <f>J149</f>
        <v>9136898.370000001</v>
      </c>
      <c r="K139" s="204"/>
      <c r="L139" s="173">
        <f>J139</f>
        <v>9136898.370000001</v>
      </c>
      <c r="M139" s="171"/>
      <c r="N139" s="162"/>
      <c r="O139" s="162"/>
    </row>
    <row r="140" spans="1:13" ht="16.5" thickBot="1">
      <c r="A140" s="200" t="s">
        <v>294</v>
      </c>
      <c r="B140" s="201"/>
      <c r="C140" s="201"/>
      <c r="D140" s="201"/>
      <c r="E140" s="201"/>
      <c r="F140" s="202"/>
      <c r="G140" s="191"/>
      <c r="H140" s="192"/>
      <c r="I140" s="174"/>
      <c r="J140" s="203"/>
      <c r="K140" s="204"/>
      <c r="L140" s="173"/>
      <c r="M140" s="171"/>
    </row>
    <row r="141" spans="1:13" ht="30" customHeight="1" thickBot="1">
      <c r="A141" s="200" t="s">
        <v>295</v>
      </c>
      <c r="B141" s="201"/>
      <c r="C141" s="201"/>
      <c r="D141" s="201"/>
      <c r="E141" s="201"/>
      <c r="F141" s="202"/>
      <c r="G141" s="191" t="s">
        <v>296</v>
      </c>
      <c r="H141" s="192"/>
      <c r="I141" s="174">
        <v>40344227.74</v>
      </c>
      <c r="J141" s="203">
        <v>41021164.23</v>
      </c>
      <c r="K141" s="204"/>
      <c r="L141" s="173">
        <f>J141</f>
        <v>41021164.23</v>
      </c>
      <c r="M141" s="171"/>
    </row>
    <row r="142" spans="1:13" ht="16.5" thickBot="1">
      <c r="A142" s="200" t="s">
        <v>294</v>
      </c>
      <c r="B142" s="201"/>
      <c r="C142" s="201"/>
      <c r="D142" s="201"/>
      <c r="E142" s="201"/>
      <c r="F142" s="202"/>
      <c r="G142" s="191"/>
      <c r="H142" s="192"/>
      <c r="I142" s="174"/>
      <c r="J142" s="203"/>
      <c r="K142" s="204"/>
      <c r="L142" s="173"/>
      <c r="M142" s="171"/>
    </row>
    <row r="143" spans="1:13" ht="75" customHeight="1" thickBot="1">
      <c r="A143" s="200" t="s">
        <v>297</v>
      </c>
      <c r="B143" s="201"/>
      <c r="C143" s="201"/>
      <c r="D143" s="201"/>
      <c r="E143" s="201"/>
      <c r="F143" s="202"/>
      <c r="G143" s="191" t="s">
        <v>292</v>
      </c>
      <c r="H143" s="192"/>
      <c r="I143" s="173">
        <f>I145</f>
        <v>60705.97</v>
      </c>
      <c r="J143" s="207">
        <f>J145</f>
        <v>60705.97</v>
      </c>
      <c r="K143" s="208"/>
      <c r="L143" s="173">
        <f>J143</f>
        <v>60705.97</v>
      </c>
      <c r="M143" s="171" t="s">
        <v>298</v>
      </c>
    </row>
    <row r="144" spans="1:13" ht="16.5" thickBot="1">
      <c r="A144" s="200" t="s">
        <v>294</v>
      </c>
      <c r="B144" s="201"/>
      <c r="C144" s="201"/>
      <c r="D144" s="201"/>
      <c r="E144" s="201"/>
      <c r="F144" s="202"/>
      <c r="G144" s="191" t="s">
        <v>292</v>
      </c>
      <c r="H144" s="192"/>
      <c r="I144" s="174"/>
      <c r="J144" s="203"/>
      <c r="K144" s="204"/>
      <c r="L144" s="173"/>
      <c r="M144" s="171"/>
    </row>
    <row r="145" spans="1:13" ht="16.5" thickBot="1">
      <c r="A145" s="200" t="s">
        <v>299</v>
      </c>
      <c r="B145" s="201"/>
      <c r="C145" s="201"/>
      <c r="D145" s="201"/>
      <c r="E145" s="201"/>
      <c r="F145" s="202"/>
      <c r="G145" s="191" t="s">
        <v>292</v>
      </c>
      <c r="H145" s="192"/>
      <c r="I145" s="174">
        <v>60705.97</v>
      </c>
      <c r="J145" s="203">
        <v>60705.97</v>
      </c>
      <c r="K145" s="204"/>
      <c r="L145" s="173">
        <f>J145</f>
        <v>60705.97</v>
      </c>
      <c r="M145" s="171"/>
    </row>
    <row r="146" spans="1:13" ht="16.5" thickBot="1">
      <c r="A146" s="200" t="s">
        <v>294</v>
      </c>
      <c r="B146" s="201"/>
      <c r="C146" s="201"/>
      <c r="D146" s="201"/>
      <c r="E146" s="201"/>
      <c r="F146" s="202"/>
      <c r="G146" s="191" t="s">
        <v>292</v>
      </c>
      <c r="H146" s="192"/>
      <c r="I146" s="174"/>
      <c r="J146" s="203"/>
      <c r="K146" s="204"/>
      <c r="L146" s="173"/>
      <c r="M146" s="171"/>
    </row>
    <row r="147" spans="1:13" ht="16.5" thickBot="1">
      <c r="A147" s="193" t="s">
        <v>300</v>
      </c>
      <c r="B147" s="194"/>
      <c r="C147" s="194"/>
      <c r="D147" s="194"/>
      <c r="E147" s="194"/>
      <c r="F147" s="187"/>
      <c r="G147" s="188">
        <v>900</v>
      </c>
      <c r="H147" s="189"/>
      <c r="I147" s="175">
        <f>I149+I181</f>
        <v>5793615.97</v>
      </c>
      <c r="J147" s="190">
        <f>J149+J181</f>
        <v>9197604.340000002</v>
      </c>
      <c r="K147" s="211"/>
      <c r="L147" s="176">
        <f>J147</f>
        <v>9197604.340000002</v>
      </c>
      <c r="M147" s="177"/>
    </row>
    <row r="148" spans="1:13" ht="16.5" thickBot="1">
      <c r="A148" s="200" t="s">
        <v>294</v>
      </c>
      <c r="B148" s="201"/>
      <c r="C148" s="201"/>
      <c r="D148" s="201"/>
      <c r="E148" s="201"/>
      <c r="F148" s="202"/>
      <c r="G148" s="178"/>
      <c r="H148" s="179"/>
      <c r="I148" s="180"/>
      <c r="J148" s="203"/>
      <c r="K148" s="204"/>
      <c r="L148" s="173"/>
      <c r="M148" s="171"/>
    </row>
    <row r="149" spans="1:13" ht="16.5" thickBot="1">
      <c r="A149" s="193" t="s">
        <v>301</v>
      </c>
      <c r="B149" s="194"/>
      <c r="C149" s="194"/>
      <c r="D149" s="194"/>
      <c r="E149" s="194"/>
      <c r="F149" s="187"/>
      <c r="G149" s="178"/>
      <c r="H149" s="179"/>
      <c r="I149" s="181">
        <f>I151+I156+I162+I166+I170+I171+I177</f>
        <v>5732910</v>
      </c>
      <c r="J149" s="207">
        <f>J151+J156+J162+J166+J170+J171+J177</f>
        <v>9136898.370000001</v>
      </c>
      <c r="K149" s="208"/>
      <c r="L149" s="173">
        <f>J149</f>
        <v>9136898.370000001</v>
      </c>
      <c r="M149" s="171"/>
    </row>
    <row r="150" spans="1:13" ht="16.5" thickBot="1">
      <c r="A150" s="200" t="s">
        <v>294</v>
      </c>
      <c r="B150" s="201"/>
      <c r="C150" s="201"/>
      <c r="D150" s="201"/>
      <c r="E150" s="201"/>
      <c r="F150" s="202"/>
      <c r="G150" s="178"/>
      <c r="H150" s="179"/>
      <c r="I150" s="180"/>
      <c r="J150" s="203"/>
      <c r="K150" s="204"/>
      <c r="L150" s="173"/>
      <c r="M150" s="171"/>
    </row>
    <row r="151" spans="1:13" ht="30" customHeight="1" thickBot="1">
      <c r="A151" s="200" t="s">
        <v>302</v>
      </c>
      <c r="B151" s="201"/>
      <c r="C151" s="201"/>
      <c r="D151" s="201"/>
      <c r="E151" s="201"/>
      <c r="F151" s="202"/>
      <c r="G151" s="205">
        <v>210</v>
      </c>
      <c r="H151" s="206"/>
      <c r="I151" s="181">
        <f>I153+I154+I155</f>
        <v>2151620</v>
      </c>
      <c r="J151" s="207">
        <f>J153+J154+J155</f>
        <v>2924002.37</v>
      </c>
      <c r="K151" s="208"/>
      <c r="L151" s="173">
        <f>J151</f>
        <v>2924002.37</v>
      </c>
      <c r="M151" s="171"/>
    </row>
    <row r="152" spans="1:13" ht="16.5" thickBot="1">
      <c r="A152" s="200" t="s">
        <v>216</v>
      </c>
      <c r="B152" s="201"/>
      <c r="C152" s="201"/>
      <c r="D152" s="201"/>
      <c r="E152" s="201"/>
      <c r="F152" s="202"/>
      <c r="G152" s="200"/>
      <c r="H152" s="202"/>
      <c r="I152" s="174"/>
      <c r="J152" s="203"/>
      <c r="K152" s="204"/>
      <c r="L152" s="173"/>
      <c r="M152" s="171"/>
    </row>
    <row r="153" spans="1:13" ht="16.5" thickBot="1">
      <c r="A153" s="200" t="s">
        <v>303</v>
      </c>
      <c r="B153" s="201"/>
      <c r="C153" s="201"/>
      <c r="D153" s="201"/>
      <c r="E153" s="201"/>
      <c r="F153" s="202"/>
      <c r="G153" s="205">
        <v>211</v>
      </c>
      <c r="H153" s="206"/>
      <c r="I153" s="182">
        <v>1500650</v>
      </c>
      <c r="J153" s="203">
        <f>'1.РасчетНорматива'!B15</f>
        <v>1972812.37</v>
      </c>
      <c r="K153" s="204"/>
      <c r="L153" s="173">
        <f>J153</f>
        <v>1972812.37</v>
      </c>
      <c r="M153" s="171"/>
    </row>
    <row r="154" spans="1:13" ht="16.5" thickBot="1">
      <c r="A154" s="245" t="s">
        <v>304</v>
      </c>
      <c r="B154" s="246"/>
      <c r="C154" s="246"/>
      <c r="D154" s="246"/>
      <c r="E154" s="246"/>
      <c r="F154" s="247"/>
      <c r="G154" s="205">
        <v>212</v>
      </c>
      <c r="H154" s="206"/>
      <c r="I154" s="182">
        <v>140750</v>
      </c>
      <c r="J154" s="203">
        <f>'1.РасчетНорматива'!B16</f>
        <v>355400.00000000006</v>
      </c>
      <c r="K154" s="204"/>
      <c r="L154" s="173">
        <f>J154</f>
        <v>355400.00000000006</v>
      </c>
      <c r="M154" s="171"/>
    </row>
    <row r="155" spans="1:13" ht="16.5" thickBot="1">
      <c r="A155" s="200" t="s">
        <v>305</v>
      </c>
      <c r="B155" s="201"/>
      <c r="C155" s="201"/>
      <c r="D155" s="201"/>
      <c r="E155" s="201"/>
      <c r="F155" s="202"/>
      <c r="G155" s="205">
        <v>213</v>
      </c>
      <c r="H155" s="206"/>
      <c r="I155" s="182">
        <v>510220</v>
      </c>
      <c r="J155" s="203">
        <f>'1.РасчетНорматива'!B17</f>
        <v>595790</v>
      </c>
      <c r="K155" s="204"/>
      <c r="L155" s="173">
        <f>J155</f>
        <v>595790</v>
      </c>
      <c r="M155" s="171"/>
    </row>
    <row r="156" spans="1:13" ht="16.5" thickBot="1">
      <c r="A156" s="200" t="s">
        <v>306</v>
      </c>
      <c r="B156" s="201"/>
      <c r="C156" s="201"/>
      <c r="D156" s="201"/>
      <c r="E156" s="201"/>
      <c r="F156" s="202"/>
      <c r="G156" s="205">
        <v>220</v>
      </c>
      <c r="H156" s="206"/>
      <c r="I156" s="183">
        <f>I158+I159+I160+I161</f>
        <v>138270</v>
      </c>
      <c r="J156" s="207">
        <f>J158+J159+J160+J161+J162+J164+J165</f>
        <v>687932</v>
      </c>
      <c r="K156" s="208"/>
      <c r="L156" s="173">
        <f>J156</f>
        <v>687932</v>
      </c>
      <c r="M156" s="171"/>
    </row>
    <row r="157" spans="1:13" ht="16.5" thickBot="1">
      <c r="A157" s="200" t="s">
        <v>216</v>
      </c>
      <c r="B157" s="201"/>
      <c r="C157" s="201"/>
      <c r="D157" s="201"/>
      <c r="E157" s="201"/>
      <c r="F157" s="202"/>
      <c r="G157" s="209"/>
      <c r="H157" s="210"/>
      <c r="I157" s="182"/>
      <c r="J157" s="203"/>
      <c r="K157" s="204"/>
      <c r="L157" s="173"/>
      <c r="M157" s="171"/>
    </row>
    <row r="158" spans="1:13" ht="16.5" thickBot="1">
      <c r="A158" s="200" t="s">
        <v>307</v>
      </c>
      <c r="B158" s="201"/>
      <c r="C158" s="201"/>
      <c r="D158" s="201"/>
      <c r="E158" s="201"/>
      <c r="F158" s="202"/>
      <c r="G158" s="209">
        <v>221</v>
      </c>
      <c r="H158" s="210"/>
      <c r="I158" s="182">
        <v>13360</v>
      </c>
      <c r="J158" s="203">
        <f>'1.РасчетНорматива'!B18</f>
        <v>40128</v>
      </c>
      <c r="K158" s="204"/>
      <c r="L158" s="173">
        <f>J158</f>
        <v>40128</v>
      </c>
      <c r="M158" s="171"/>
    </row>
    <row r="159" spans="1:13" ht="16.5" thickBot="1">
      <c r="A159" s="200" t="s">
        <v>308</v>
      </c>
      <c r="B159" s="201"/>
      <c r="C159" s="201"/>
      <c r="D159" s="201"/>
      <c r="E159" s="201"/>
      <c r="F159" s="202"/>
      <c r="G159" s="209">
        <v>222</v>
      </c>
      <c r="H159" s="210"/>
      <c r="I159" s="182">
        <v>20960</v>
      </c>
      <c r="J159" s="203">
        <f>'1.РасчетНорматива'!B19</f>
        <v>206120</v>
      </c>
      <c r="K159" s="204"/>
      <c r="L159" s="173">
        <f>J159</f>
        <v>206120</v>
      </c>
      <c r="M159" s="171"/>
    </row>
    <row r="160" spans="1:13" ht="16.5" thickBot="1">
      <c r="A160" s="200" t="s">
        <v>309</v>
      </c>
      <c r="B160" s="201"/>
      <c r="C160" s="201"/>
      <c r="D160" s="201"/>
      <c r="E160" s="201"/>
      <c r="F160" s="202"/>
      <c r="G160" s="209">
        <v>224</v>
      </c>
      <c r="H160" s="210"/>
      <c r="I160" s="182"/>
      <c r="J160" s="203"/>
      <c r="K160" s="204"/>
      <c r="L160" s="173"/>
      <c r="M160" s="171"/>
    </row>
    <row r="161" spans="1:13" ht="16.5" thickBot="1">
      <c r="A161" s="200" t="s">
        <v>310</v>
      </c>
      <c r="B161" s="201"/>
      <c r="C161" s="201"/>
      <c r="D161" s="201"/>
      <c r="E161" s="201"/>
      <c r="F161" s="202"/>
      <c r="G161" s="209">
        <v>226</v>
      </c>
      <c r="H161" s="210"/>
      <c r="I161" s="182">
        <v>103950</v>
      </c>
      <c r="J161" s="203">
        <f>'1.РасчетНорматива'!B22</f>
        <v>441684</v>
      </c>
      <c r="K161" s="204"/>
      <c r="L161" s="173">
        <f>J161</f>
        <v>441684</v>
      </c>
      <c r="M161" s="171"/>
    </row>
    <row r="162" spans="1:13" ht="16.5" thickBot="1">
      <c r="A162" s="200" t="s">
        <v>311</v>
      </c>
      <c r="B162" s="201"/>
      <c r="C162" s="201"/>
      <c r="D162" s="201"/>
      <c r="E162" s="201"/>
      <c r="F162" s="202"/>
      <c r="G162" s="205">
        <v>240</v>
      </c>
      <c r="H162" s="206"/>
      <c r="I162" s="183">
        <f>I164+I165</f>
        <v>0</v>
      </c>
      <c r="J162" s="207">
        <f>J164+J165</f>
        <v>0</v>
      </c>
      <c r="K162" s="208"/>
      <c r="L162" s="173"/>
      <c r="M162" s="171"/>
    </row>
    <row r="163" spans="1:13" ht="16.5" thickBot="1">
      <c r="A163" s="200" t="s">
        <v>216</v>
      </c>
      <c r="B163" s="201"/>
      <c r="C163" s="201"/>
      <c r="D163" s="201"/>
      <c r="E163" s="201"/>
      <c r="F163" s="202"/>
      <c r="G163" s="205"/>
      <c r="H163" s="206"/>
      <c r="I163" s="182"/>
      <c r="J163" s="203"/>
      <c r="K163" s="204"/>
      <c r="L163" s="173"/>
      <c r="M163" s="171"/>
    </row>
    <row r="164" spans="1:13" ht="30" customHeight="1" thickBot="1">
      <c r="A164" s="200" t="s">
        <v>312</v>
      </c>
      <c r="B164" s="201"/>
      <c r="C164" s="201"/>
      <c r="D164" s="201"/>
      <c r="E164" s="201"/>
      <c r="F164" s="202"/>
      <c r="G164" s="209">
        <v>241</v>
      </c>
      <c r="H164" s="210"/>
      <c r="I164" s="182"/>
      <c r="J164" s="203"/>
      <c r="K164" s="204"/>
      <c r="L164" s="173"/>
      <c r="M164" s="171"/>
    </row>
    <row r="165" spans="1:13" ht="45" customHeight="1" thickBot="1">
      <c r="A165" s="200" t="s">
        <v>313</v>
      </c>
      <c r="B165" s="201"/>
      <c r="C165" s="201"/>
      <c r="D165" s="201"/>
      <c r="E165" s="201"/>
      <c r="F165" s="202"/>
      <c r="G165" s="205">
        <v>242</v>
      </c>
      <c r="H165" s="206"/>
      <c r="I165" s="182"/>
      <c r="J165" s="203"/>
      <c r="K165" s="204"/>
      <c r="L165" s="173"/>
      <c r="M165" s="171"/>
    </row>
    <row r="166" spans="1:13" ht="16.5" thickBot="1">
      <c r="A166" s="200" t="s">
        <v>314</v>
      </c>
      <c r="B166" s="201"/>
      <c r="C166" s="201"/>
      <c r="D166" s="201"/>
      <c r="E166" s="201"/>
      <c r="F166" s="202"/>
      <c r="G166" s="205">
        <v>260</v>
      </c>
      <c r="H166" s="206"/>
      <c r="I166" s="183">
        <f>I168+I169</f>
        <v>0</v>
      </c>
      <c r="J166" s="207">
        <f>J168+J169</f>
        <v>0</v>
      </c>
      <c r="K166" s="208"/>
      <c r="L166" s="173">
        <f>J166</f>
        <v>0</v>
      </c>
      <c r="M166" s="171"/>
    </row>
    <row r="167" spans="1:13" ht="16.5" thickBot="1">
      <c r="A167" s="200" t="s">
        <v>216</v>
      </c>
      <c r="B167" s="201"/>
      <c r="C167" s="201"/>
      <c r="D167" s="201"/>
      <c r="E167" s="201"/>
      <c r="F167" s="202"/>
      <c r="G167" s="205"/>
      <c r="H167" s="206"/>
      <c r="I167" s="182"/>
      <c r="J167" s="203"/>
      <c r="K167" s="204"/>
      <c r="L167" s="173"/>
      <c r="M167" s="171"/>
    </row>
    <row r="168" spans="1:13" ht="16.5" thickBot="1">
      <c r="A168" s="200" t="s">
        <v>315</v>
      </c>
      <c r="B168" s="201"/>
      <c r="C168" s="201"/>
      <c r="D168" s="201"/>
      <c r="E168" s="201"/>
      <c r="F168" s="202"/>
      <c r="G168" s="209">
        <v>262</v>
      </c>
      <c r="H168" s="210"/>
      <c r="I168" s="182">
        <v>0</v>
      </c>
      <c r="J168" s="203"/>
      <c r="K168" s="204"/>
      <c r="L168" s="173"/>
      <c r="M168" s="171"/>
    </row>
    <row r="169" spans="1:13" ht="30" customHeight="1" thickBot="1">
      <c r="A169" s="200" t="s">
        <v>316</v>
      </c>
      <c r="B169" s="201"/>
      <c r="C169" s="201"/>
      <c r="D169" s="201"/>
      <c r="E169" s="201"/>
      <c r="F169" s="202"/>
      <c r="G169" s="209">
        <v>263</v>
      </c>
      <c r="H169" s="210"/>
      <c r="I169" s="182"/>
      <c r="J169" s="203"/>
      <c r="K169" s="204"/>
      <c r="L169" s="173"/>
      <c r="M169" s="171"/>
    </row>
    <row r="170" spans="1:13" ht="16.5" thickBot="1">
      <c r="A170" s="200" t="s">
        <v>317</v>
      </c>
      <c r="B170" s="201"/>
      <c r="C170" s="201"/>
      <c r="D170" s="201"/>
      <c r="E170" s="201"/>
      <c r="F170" s="202"/>
      <c r="G170" s="205">
        <v>290</v>
      </c>
      <c r="H170" s="206"/>
      <c r="I170" s="182">
        <v>5990</v>
      </c>
      <c r="J170" s="203">
        <f>'1.РасчетНорматива'!B23</f>
        <v>6000</v>
      </c>
      <c r="K170" s="204"/>
      <c r="L170" s="173">
        <f>J170</f>
        <v>6000</v>
      </c>
      <c r="M170" s="171"/>
    </row>
    <row r="171" spans="1:13" ht="16.5" thickBot="1">
      <c r="A171" s="200" t="s">
        <v>318</v>
      </c>
      <c r="B171" s="201"/>
      <c r="C171" s="201"/>
      <c r="D171" s="201"/>
      <c r="E171" s="201"/>
      <c r="F171" s="202"/>
      <c r="G171" s="205">
        <v>300</v>
      </c>
      <c r="H171" s="206"/>
      <c r="I171" s="183">
        <f>I173+I174+I175</f>
        <v>138590</v>
      </c>
      <c r="J171" s="207">
        <f>J173+J174+J175</f>
        <v>334700</v>
      </c>
      <c r="K171" s="208"/>
      <c r="L171" s="173">
        <f>J171</f>
        <v>334700</v>
      </c>
      <c r="M171" s="171"/>
    </row>
    <row r="172" spans="1:13" ht="16.5" thickBot="1">
      <c r="A172" s="200" t="s">
        <v>216</v>
      </c>
      <c r="B172" s="201"/>
      <c r="C172" s="201"/>
      <c r="D172" s="201"/>
      <c r="E172" s="201"/>
      <c r="F172" s="202"/>
      <c r="G172" s="205"/>
      <c r="H172" s="206"/>
      <c r="I172" s="184"/>
      <c r="J172" s="203"/>
      <c r="K172" s="204"/>
      <c r="L172" s="173"/>
      <c r="M172" s="171"/>
    </row>
    <row r="173" spans="1:13" ht="16.5" thickBot="1">
      <c r="A173" s="200" t="s">
        <v>319</v>
      </c>
      <c r="B173" s="201"/>
      <c r="C173" s="201"/>
      <c r="D173" s="201"/>
      <c r="E173" s="201"/>
      <c r="F173" s="202"/>
      <c r="G173" s="205">
        <v>310</v>
      </c>
      <c r="H173" s="206"/>
      <c r="I173" s="182">
        <v>0</v>
      </c>
      <c r="J173" s="203"/>
      <c r="K173" s="204"/>
      <c r="L173" s="173"/>
      <c r="M173" s="171"/>
    </row>
    <row r="174" spans="1:13" ht="16.5" thickBot="1">
      <c r="A174" s="200" t="s">
        <v>320</v>
      </c>
      <c r="B174" s="201"/>
      <c r="C174" s="201"/>
      <c r="D174" s="201"/>
      <c r="E174" s="201"/>
      <c r="F174" s="202"/>
      <c r="G174" s="209">
        <v>330</v>
      </c>
      <c r="H174" s="210"/>
      <c r="I174" s="182"/>
      <c r="J174" s="203"/>
      <c r="K174" s="204"/>
      <c r="L174" s="173"/>
      <c r="M174" s="171"/>
    </row>
    <row r="175" spans="1:13" ht="16.5" thickBot="1">
      <c r="A175" s="200" t="s">
        <v>321</v>
      </c>
      <c r="B175" s="201"/>
      <c r="C175" s="201"/>
      <c r="D175" s="201"/>
      <c r="E175" s="201"/>
      <c r="F175" s="202"/>
      <c r="G175" s="205">
        <v>340</v>
      </c>
      <c r="H175" s="206"/>
      <c r="I175" s="182">
        <v>138590</v>
      </c>
      <c r="J175" s="203">
        <f>'1.РасчетНорматива'!B25</f>
        <v>334700</v>
      </c>
      <c r="K175" s="204"/>
      <c r="L175" s="173">
        <f>J175</f>
        <v>334700</v>
      </c>
      <c r="M175" s="171"/>
    </row>
    <row r="176" spans="1:13" ht="16.5" thickBot="1">
      <c r="A176" s="200" t="s">
        <v>322</v>
      </c>
      <c r="B176" s="201"/>
      <c r="C176" s="201"/>
      <c r="D176" s="201"/>
      <c r="E176" s="201"/>
      <c r="F176" s="202"/>
      <c r="G176" s="205">
        <v>500</v>
      </c>
      <c r="H176" s="206"/>
      <c r="I176" s="182"/>
      <c r="J176" s="203"/>
      <c r="K176" s="204"/>
      <c r="L176" s="173"/>
      <c r="M176" s="171"/>
    </row>
    <row r="177" spans="1:13" ht="16.5" thickBot="1">
      <c r="A177" s="193" t="s">
        <v>323</v>
      </c>
      <c r="B177" s="194"/>
      <c r="C177" s="194"/>
      <c r="D177" s="194"/>
      <c r="E177" s="194"/>
      <c r="F177" s="187"/>
      <c r="G177" s="205"/>
      <c r="H177" s="206"/>
      <c r="I177" s="183">
        <f>I179+I180</f>
        <v>3298440</v>
      </c>
      <c r="J177" s="207">
        <f>J179+J180</f>
        <v>5184264.000000001</v>
      </c>
      <c r="K177" s="208"/>
      <c r="L177" s="173">
        <f>J177</f>
        <v>5184264.000000001</v>
      </c>
      <c r="M177" s="171"/>
    </row>
    <row r="178" spans="1:13" ht="16.5" thickBot="1">
      <c r="A178" s="200" t="s">
        <v>294</v>
      </c>
      <c r="B178" s="201"/>
      <c r="C178" s="201"/>
      <c r="D178" s="201"/>
      <c r="E178" s="201"/>
      <c r="F178" s="202"/>
      <c r="G178" s="205"/>
      <c r="H178" s="206"/>
      <c r="I178" s="182"/>
      <c r="J178" s="203"/>
      <c r="K178" s="204"/>
      <c r="L178" s="173"/>
      <c r="M178" s="171"/>
    </row>
    <row r="179" spans="1:13" ht="16.5" thickBot="1">
      <c r="A179" s="200" t="s">
        <v>324</v>
      </c>
      <c r="B179" s="201"/>
      <c r="C179" s="201"/>
      <c r="D179" s="201"/>
      <c r="E179" s="201"/>
      <c r="F179" s="202"/>
      <c r="G179" s="205">
        <v>223</v>
      </c>
      <c r="H179" s="206"/>
      <c r="I179" s="182">
        <v>3066690</v>
      </c>
      <c r="J179" s="203">
        <f>'1.РасчетНорматива'!B20</f>
        <v>4585200.000000001</v>
      </c>
      <c r="K179" s="204"/>
      <c r="L179" s="173">
        <f>J179</f>
        <v>4585200.000000001</v>
      </c>
      <c r="M179" s="171"/>
    </row>
    <row r="180" spans="1:13" ht="30" customHeight="1" thickBot="1">
      <c r="A180" s="200" t="s">
        <v>325</v>
      </c>
      <c r="B180" s="201"/>
      <c r="C180" s="201"/>
      <c r="D180" s="201"/>
      <c r="E180" s="201"/>
      <c r="F180" s="202"/>
      <c r="G180" s="205">
        <v>225</v>
      </c>
      <c r="H180" s="206"/>
      <c r="I180" s="182">
        <v>231750</v>
      </c>
      <c r="J180" s="203">
        <f>'1.РасчетНорматива'!B21</f>
        <v>599064</v>
      </c>
      <c r="K180" s="204"/>
      <c r="L180" s="173">
        <f>J180</f>
        <v>599064</v>
      </c>
      <c r="M180" s="171"/>
    </row>
    <row r="181" spans="1:13" ht="45.75" customHeight="1" thickBot="1">
      <c r="A181" s="193" t="s">
        <v>326</v>
      </c>
      <c r="B181" s="194"/>
      <c r="C181" s="194"/>
      <c r="D181" s="194"/>
      <c r="E181" s="194"/>
      <c r="F181" s="187"/>
      <c r="G181" s="205"/>
      <c r="H181" s="206"/>
      <c r="I181" s="183">
        <f>I145</f>
        <v>60705.97</v>
      </c>
      <c r="J181" s="207">
        <f>J145</f>
        <v>60705.97</v>
      </c>
      <c r="K181" s="208"/>
      <c r="L181" s="173">
        <f>J181</f>
        <v>60705.97</v>
      </c>
      <c r="M181" s="171"/>
    </row>
    <row r="182" spans="1:13" ht="16.5" thickBot="1">
      <c r="A182" s="200" t="s">
        <v>294</v>
      </c>
      <c r="B182" s="201"/>
      <c r="C182" s="201"/>
      <c r="D182" s="201"/>
      <c r="E182" s="201"/>
      <c r="F182" s="202"/>
      <c r="G182" s="205"/>
      <c r="H182" s="206"/>
      <c r="I182" s="185"/>
      <c r="J182" s="243"/>
      <c r="K182" s="244"/>
      <c r="L182" s="170"/>
      <c r="M182" s="171"/>
    </row>
    <row r="183" spans="1:13" ht="28.5" customHeight="1" thickBot="1">
      <c r="A183" s="193" t="s">
        <v>327</v>
      </c>
      <c r="B183" s="194"/>
      <c r="C183" s="194"/>
      <c r="D183" s="194"/>
      <c r="E183" s="194"/>
      <c r="F183" s="187"/>
      <c r="G183" s="191" t="s">
        <v>292</v>
      </c>
      <c r="H183" s="192"/>
      <c r="I183" s="186"/>
      <c r="J183" s="243"/>
      <c r="K183" s="244"/>
      <c r="L183" s="170"/>
      <c r="M183" s="171"/>
    </row>
    <row r="184" spans="1:13" ht="15.75">
      <c r="A184" s="218"/>
      <c r="B184" s="218"/>
      <c r="C184" s="218"/>
      <c r="D184" s="218"/>
      <c r="E184" s="218"/>
      <c r="F184" s="218"/>
      <c r="G184" s="198"/>
      <c r="H184" s="198"/>
      <c r="I184" s="198"/>
      <c r="J184" s="218"/>
      <c r="K184" s="218"/>
      <c r="L184" s="167"/>
      <c r="M184" s="167"/>
    </row>
    <row r="185" spans="1:13" ht="15.75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M185" s="167"/>
    </row>
    <row r="186" spans="1:13" ht="16.5" thickBot="1">
      <c r="A186" s="196" t="s">
        <v>328</v>
      </c>
      <c r="B186" s="196"/>
      <c r="C186" s="196"/>
      <c r="D186" s="196"/>
      <c r="E186" s="196"/>
      <c r="F186" s="196"/>
      <c r="G186" s="196"/>
      <c r="H186" s="196"/>
      <c r="I186" s="196"/>
      <c r="J186" s="242"/>
      <c r="K186" s="242"/>
      <c r="L186" s="199" t="s">
        <v>347</v>
      </c>
      <c r="M186" s="199"/>
    </row>
    <row r="187" spans="1:13" ht="15.75">
      <c r="A187" s="196"/>
      <c r="B187" s="196"/>
      <c r="C187" s="196"/>
      <c r="D187" s="196"/>
      <c r="E187" s="196"/>
      <c r="F187" s="196"/>
      <c r="G187" s="196"/>
      <c r="H187" s="196"/>
      <c r="I187" s="196"/>
      <c r="J187" s="198" t="s">
        <v>329</v>
      </c>
      <c r="K187" s="198"/>
      <c r="L187" s="198" t="s">
        <v>330</v>
      </c>
      <c r="M187" s="198"/>
    </row>
    <row r="188" spans="1:13" ht="16.5" thickBot="1">
      <c r="A188" s="196" t="s">
        <v>350</v>
      </c>
      <c r="B188" s="196"/>
      <c r="C188" s="196"/>
      <c r="D188" s="196"/>
      <c r="E188" s="196"/>
      <c r="F188" s="196"/>
      <c r="G188" s="196"/>
      <c r="H188" s="196"/>
      <c r="I188" s="196"/>
      <c r="J188" s="242"/>
      <c r="K188" s="242"/>
      <c r="L188" s="199" t="s">
        <v>332</v>
      </c>
      <c r="M188" s="199"/>
    </row>
    <row r="189" spans="1:13" ht="15.75">
      <c r="A189" s="196"/>
      <c r="B189" s="196"/>
      <c r="C189" s="196"/>
      <c r="D189" s="196"/>
      <c r="E189" s="196"/>
      <c r="F189" s="196"/>
      <c r="G189" s="197"/>
      <c r="H189" s="197"/>
      <c r="I189" s="197"/>
      <c r="J189" s="198" t="s">
        <v>329</v>
      </c>
      <c r="K189" s="198"/>
      <c r="L189" s="198" t="s">
        <v>330</v>
      </c>
      <c r="M189" s="198"/>
    </row>
    <row r="190" spans="1:13" ht="16.5" thickBot="1">
      <c r="A190" s="196" t="s">
        <v>331</v>
      </c>
      <c r="B190" s="196"/>
      <c r="C190" s="196"/>
      <c r="D190" s="196"/>
      <c r="E190" s="196"/>
      <c r="F190" s="196"/>
      <c r="G190" s="196"/>
      <c r="H190" s="196"/>
      <c r="I190" s="196"/>
      <c r="J190" s="242"/>
      <c r="K190" s="242"/>
      <c r="L190" s="195" t="s">
        <v>352</v>
      </c>
      <c r="M190" s="195"/>
    </row>
    <row r="191" spans="1:13" ht="15" customHeight="1">
      <c r="A191" s="196" t="s">
        <v>333</v>
      </c>
      <c r="B191" s="196"/>
      <c r="C191" s="196"/>
      <c r="D191" s="196"/>
      <c r="E191" s="196"/>
      <c r="F191" s="196"/>
      <c r="G191" s="197"/>
      <c r="H191" s="197"/>
      <c r="I191" s="197"/>
      <c r="J191" s="198" t="s">
        <v>329</v>
      </c>
      <c r="K191" s="198"/>
      <c r="L191" s="198" t="s">
        <v>330</v>
      </c>
      <c r="M191" s="198"/>
    </row>
    <row r="192" spans="1:13" ht="15.75">
      <c r="A192" s="196"/>
      <c r="B192" s="196"/>
      <c r="C192" s="196"/>
      <c r="D192" s="196"/>
      <c r="E192" s="196"/>
      <c r="F192" s="196"/>
      <c r="G192" s="197"/>
      <c r="H192" s="197"/>
      <c r="I192" s="197"/>
      <c r="J192" s="196"/>
      <c r="K192" s="196"/>
      <c r="L192" s="167"/>
      <c r="M192" s="167"/>
    </row>
    <row r="193" spans="1:13" ht="15.75">
      <c r="A193" s="196"/>
      <c r="B193" s="196"/>
      <c r="C193" s="196"/>
      <c r="D193" s="196"/>
      <c r="E193" s="196"/>
      <c r="F193" s="196"/>
      <c r="G193" s="197"/>
      <c r="H193" s="197"/>
      <c r="I193" s="197"/>
      <c r="J193" s="196"/>
      <c r="K193" s="196"/>
      <c r="L193" s="167"/>
      <c r="M193" s="167"/>
    </row>
    <row r="194" spans="1:13" ht="15" customHeight="1">
      <c r="A194" s="241" t="s">
        <v>351</v>
      </c>
      <c r="B194" s="241"/>
      <c r="C194" s="241"/>
      <c r="D194" s="241"/>
      <c r="E194" s="241"/>
      <c r="F194" s="241"/>
      <c r="G194" s="197"/>
      <c r="H194" s="197"/>
      <c r="I194" s="197"/>
      <c r="J194" s="196"/>
      <c r="K194" s="196"/>
      <c r="L194" s="167"/>
      <c r="M194" s="167"/>
    </row>
  </sheetData>
  <sheetProtection/>
  <mergeCells count="403">
    <mergeCell ref="A21:G21"/>
    <mergeCell ref="H21:M21"/>
    <mergeCell ref="A31:G31"/>
    <mergeCell ref="H31:M31"/>
    <mergeCell ref="A22:G22"/>
    <mergeCell ref="H22:M22"/>
    <mergeCell ref="A23:G23"/>
    <mergeCell ref="H23:M23"/>
    <mergeCell ref="A24:G24"/>
    <mergeCell ref="H24:M24"/>
    <mergeCell ref="A37:G37"/>
    <mergeCell ref="H37:M37"/>
    <mergeCell ref="A32:G32"/>
    <mergeCell ref="H32:M32"/>
    <mergeCell ref="A33:G33"/>
    <mergeCell ref="H33:M33"/>
    <mergeCell ref="A34:G34"/>
    <mergeCell ref="H34:M34"/>
    <mergeCell ref="A35:G35"/>
    <mergeCell ref="H35:M35"/>
    <mergeCell ref="A36:G36"/>
    <mergeCell ref="H36:M36"/>
    <mergeCell ref="A69:K69"/>
    <mergeCell ref="L69:M69"/>
    <mergeCell ref="A55:K55"/>
    <mergeCell ref="L55:M55"/>
    <mergeCell ref="A56:K56"/>
    <mergeCell ref="L56:M56"/>
    <mergeCell ref="A57:K57"/>
    <mergeCell ref="L57:M57"/>
    <mergeCell ref="A58:K58"/>
    <mergeCell ref="L58:M58"/>
    <mergeCell ref="A75:K75"/>
    <mergeCell ref="L75:M75"/>
    <mergeCell ref="A70:K70"/>
    <mergeCell ref="L70:M70"/>
    <mergeCell ref="A71:K71"/>
    <mergeCell ref="L71:M71"/>
    <mergeCell ref="A72:K72"/>
    <mergeCell ref="L72:M72"/>
    <mergeCell ref="A73:K73"/>
    <mergeCell ref="L73:M73"/>
    <mergeCell ref="A74:K74"/>
    <mergeCell ref="L74:M74"/>
    <mergeCell ref="A81:K81"/>
    <mergeCell ref="L81:M81"/>
    <mergeCell ref="A76:K76"/>
    <mergeCell ref="L76:M76"/>
    <mergeCell ref="A77:K77"/>
    <mergeCell ref="L77:M77"/>
    <mergeCell ref="A78:K78"/>
    <mergeCell ref="L78:M78"/>
    <mergeCell ref="A79:K79"/>
    <mergeCell ref="L79:M79"/>
    <mergeCell ref="A80:K80"/>
    <mergeCell ref="L80:M80"/>
    <mergeCell ref="A87:K87"/>
    <mergeCell ref="L87:M87"/>
    <mergeCell ref="A82:K82"/>
    <mergeCell ref="L82:M82"/>
    <mergeCell ref="A83:K83"/>
    <mergeCell ref="L83:M83"/>
    <mergeCell ref="A84:K84"/>
    <mergeCell ref="L84:M84"/>
    <mergeCell ref="A85:K85"/>
    <mergeCell ref="L85:M85"/>
    <mergeCell ref="A86:K86"/>
    <mergeCell ref="L86:M86"/>
    <mergeCell ref="A93:K93"/>
    <mergeCell ref="L93:M93"/>
    <mergeCell ref="A88:K88"/>
    <mergeCell ref="L88:M88"/>
    <mergeCell ref="A89:K89"/>
    <mergeCell ref="L89:M89"/>
    <mergeCell ref="A90:K90"/>
    <mergeCell ref="L90:M90"/>
    <mergeCell ref="A91:K91"/>
    <mergeCell ref="L91:M91"/>
    <mergeCell ref="A92:K92"/>
    <mergeCell ref="L92:M92"/>
    <mergeCell ref="A99:K99"/>
    <mergeCell ref="L99:M99"/>
    <mergeCell ref="A94:K94"/>
    <mergeCell ref="L94:M94"/>
    <mergeCell ref="A95:K95"/>
    <mergeCell ref="L95:M95"/>
    <mergeCell ref="A96:K96"/>
    <mergeCell ref="L96:M96"/>
    <mergeCell ref="A97:K97"/>
    <mergeCell ref="L97:M97"/>
    <mergeCell ref="A98:K98"/>
    <mergeCell ref="L98:M98"/>
    <mergeCell ref="A105:K105"/>
    <mergeCell ref="L105:M105"/>
    <mergeCell ref="A100:K100"/>
    <mergeCell ref="L100:M100"/>
    <mergeCell ref="A101:K101"/>
    <mergeCell ref="L101:M101"/>
    <mergeCell ref="A102:K102"/>
    <mergeCell ref="L102:M102"/>
    <mergeCell ref="A103:K103"/>
    <mergeCell ref="L103:M103"/>
    <mergeCell ref="A104:K104"/>
    <mergeCell ref="L104:M104"/>
    <mergeCell ref="A111:K111"/>
    <mergeCell ref="L111:M111"/>
    <mergeCell ref="A106:K106"/>
    <mergeCell ref="L106:M106"/>
    <mergeCell ref="A107:K107"/>
    <mergeCell ref="L107:M107"/>
    <mergeCell ref="A108:K108"/>
    <mergeCell ref="L108:M108"/>
    <mergeCell ref="A109:K109"/>
    <mergeCell ref="L109:M109"/>
    <mergeCell ref="A110:K110"/>
    <mergeCell ref="L110:M110"/>
    <mergeCell ref="A117:K117"/>
    <mergeCell ref="L117:M117"/>
    <mergeCell ref="A112:K112"/>
    <mergeCell ref="L112:M112"/>
    <mergeCell ref="A113:K113"/>
    <mergeCell ref="L113:M113"/>
    <mergeCell ref="A114:K114"/>
    <mergeCell ref="L114:M114"/>
    <mergeCell ref="A115:K115"/>
    <mergeCell ref="L115:M115"/>
    <mergeCell ref="A116:K116"/>
    <mergeCell ref="L116:M116"/>
    <mergeCell ref="A123:K123"/>
    <mergeCell ref="L123:M123"/>
    <mergeCell ref="A118:K118"/>
    <mergeCell ref="L118:M118"/>
    <mergeCell ref="A119:K119"/>
    <mergeCell ref="L119:M119"/>
    <mergeCell ref="A120:K120"/>
    <mergeCell ref="L120:M120"/>
    <mergeCell ref="A121:K121"/>
    <mergeCell ref="L121:M121"/>
    <mergeCell ref="A122:K122"/>
    <mergeCell ref="L122:M122"/>
    <mergeCell ref="L128:M128"/>
    <mergeCell ref="A129:K129"/>
    <mergeCell ref="L129:M129"/>
    <mergeCell ref="A124:K124"/>
    <mergeCell ref="L124:M124"/>
    <mergeCell ref="A125:K125"/>
    <mergeCell ref="L125:M125"/>
    <mergeCell ref="A126:K126"/>
    <mergeCell ref="L126:M126"/>
    <mergeCell ref="G140:H140"/>
    <mergeCell ref="J140:K140"/>
    <mergeCell ref="A141:F141"/>
    <mergeCell ref="A136:F136"/>
    <mergeCell ref="G136:H136"/>
    <mergeCell ref="J136:K136"/>
    <mergeCell ref="A137:F137"/>
    <mergeCell ref="G137:H137"/>
    <mergeCell ref="J137:K137"/>
    <mergeCell ref="A145:F145"/>
    <mergeCell ref="A144:F144"/>
    <mergeCell ref="G144:H144"/>
    <mergeCell ref="J144:K144"/>
    <mergeCell ref="G145:H145"/>
    <mergeCell ref="J145:K145"/>
    <mergeCell ref="A148:F148"/>
    <mergeCell ref="J148:K148"/>
    <mergeCell ref="A149:F149"/>
    <mergeCell ref="J149:K149"/>
    <mergeCell ref="A152:F152"/>
    <mergeCell ref="G152:H152"/>
    <mergeCell ref="J152:K152"/>
    <mergeCell ref="A153:F153"/>
    <mergeCell ref="G153:H153"/>
    <mergeCell ref="J153:K153"/>
    <mergeCell ref="A154:F154"/>
    <mergeCell ref="G154:H154"/>
    <mergeCell ref="J154:K154"/>
    <mergeCell ref="A155:F155"/>
    <mergeCell ref="G155:H155"/>
    <mergeCell ref="J155:K155"/>
    <mergeCell ref="A156:F156"/>
    <mergeCell ref="G156:H156"/>
    <mergeCell ref="J156:K156"/>
    <mergeCell ref="A157:F157"/>
    <mergeCell ref="G157:H157"/>
    <mergeCell ref="J157:K157"/>
    <mergeCell ref="J158:K158"/>
    <mergeCell ref="A159:F159"/>
    <mergeCell ref="G159:H159"/>
    <mergeCell ref="J159:K159"/>
    <mergeCell ref="A163:F163"/>
    <mergeCell ref="G163:H163"/>
    <mergeCell ref="J163:K163"/>
    <mergeCell ref="A160:F160"/>
    <mergeCell ref="G160:H160"/>
    <mergeCell ref="J160:K160"/>
    <mergeCell ref="A161:F161"/>
    <mergeCell ref="G161:H161"/>
    <mergeCell ref="J161:K161"/>
    <mergeCell ref="A165:F165"/>
    <mergeCell ref="J165:K165"/>
    <mergeCell ref="A166:F166"/>
    <mergeCell ref="J166:K166"/>
    <mergeCell ref="G165:H165"/>
    <mergeCell ref="G166:H166"/>
    <mergeCell ref="A167:F167"/>
    <mergeCell ref="G167:H167"/>
    <mergeCell ref="J167:K167"/>
    <mergeCell ref="A168:F168"/>
    <mergeCell ref="G168:H168"/>
    <mergeCell ref="J168:K168"/>
    <mergeCell ref="A169:F169"/>
    <mergeCell ref="G169:H169"/>
    <mergeCell ref="J169:K169"/>
    <mergeCell ref="A170:F170"/>
    <mergeCell ref="G170:H170"/>
    <mergeCell ref="J170:K170"/>
    <mergeCell ref="A171:F171"/>
    <mergeCell ref="G171:H171"/>
    <mergeCell ref="J171:K171"/>
    <mergeCell ref="A172:F172"/>
    <mergeCell ref="G172:H172"/>
    <mergeCell ref="J172:K172"/>
    <mergeCell ref="A173:F173"/>
    <mergeCell ref="G173:H173"/>
    <mergeCell ref="J173:K173"/>
    <mergeCell ref="A174:F174"/>
    <mergeCell ref="G174:H174"/>
    <mergeCell ref="J174:K174"/>
    <mergeCell ref="A175:F175"/>
    <mergeCell ref="G175:H175"/>
    <mergeCell ref="J175:K175"/>
    <mergeCell ref="A176:F176"/>
    <mergeCell ref="G176:H176"/>
    <mergeCell ref="J176:K176"/>
    <mergeCell ref="A177:F177"/>
    <mergeCell ref="G177:H177"/>
    <mergeCell ref="J177:K177"/>
    <mergeCell ref="A178:F178"/>
    <mergeCell ref="G178:H178"/>
    <mergeCell ref="J178:K178"/>
    <mergeCell ref="A179:F179"/>
    <mergeCell ref="G179:H179"/>
    <mergeCell ref="J179:K179"/>
    <mergeCell ref="A180:F180"/>
    <mergeCell ref="G180:H180"/>
    <mergeCell ref="J180:K180"/>
    <mergeCell ref="G184:I184"/>
    <mergeCell ref="A181:F181"/>
    <mergeCell ref="G181:H181"/>
    <mergeCell ref="J181:K181"/>
    <mergeCell ref="A182:F182"/>
    <mergeCell ref="G182:H182"/>
    <mergeCell ref="J182:K182"/>
    <mergeCell ref="A185:I185"/>
    <mergeCell ref="J185:K186"/>
    <mergeCell ref="A186:I186"/>
    <mergeCell ref="A183:F183"/>
    <mergeCell ref="G183:H183"/>
    <mergeCell ref="J183:K183"/>
    <mergeCell ref="J184:K184"/>
    <mergeCell ref="A184:B184"/>
    <mergeCell ref="C184:D184"/>
    <mergeCell ref="E184:F184"/>
    <mergeCell ref="J192:K192"/>
    <mergeCell ref="J189:K189"/>
    <mergeCell ref="J190:K190"/>
    <mergeCell ref="A190:I190"/>
    <mergeCell ref="J193:K193"/>
    <mergeCell ref="A194:F194"/>
    <mergeCell ref="J194:K194"/>
    <mergeCell ref="A193:B193"/>
    <mergeCell ref="C193:D193"/>
    <mergeCell ref="E193:F193"/>
    <mergeCell ref="G193:I193"/>
    <mergeCell ref="G194:I194"/>
    <mergeCell ref="A20:G20"/>
    <mergeCell ref="H20:M20"/>
    <mergeCell ref="A16:M16"/>
    <mergeCell ref="A1:M1"/>
    <mergeCell ref="A2:M2"/>
    <mergeCell ref="A3:M3"/>
    <mergeCell ref="A4:M4"/>
    <mergeCell ref="J8:M8"/>
    <mergeCell ref="J9:M9"/>
    <mergeCell ref="J10:M10"/>
    <mergeCell ref="J11:M11"/>
    <mergeCell ref="A17:M17"/>
    <mergeCell ref="A19:G19"/>
    <mergeCell ref="H19:M19"/>
    <mergeCell ref="A30:G30"/>
    <mergeCell ref="H30:M30"/>
    <mergeCell ref="A25:G25"/>
    <mergeCell ref="H25:M25"/>
    <mergeCell ref="A26:G26"/>
    <mergeCell ref="H26:M26"/>
    <mergeCell ref="A27:G27"/>
    <mergeCell ref="H27:M27"/>
    <mergeCell ref="A28:G28"/>
    <mergeCell ref="H28:M28"/>
    <mergeCell ref="A29:G29"/>
    <mergeCell ref="H29:M29"/>
    <mergeCell ref="A38:G38"/>
    <mergeCell ref="H38:M38"/>
    <mergeCell ref="A39:G39"/>
    <mergeCell ref="H39:M39"/>
    <mergeCell ref="A53:K53"/>
    <mergeCell ref="L53:M53"/>
    <mergeCell ref="A54:K54"/>
    <mergeCell ref="L54:M54"/>
    <mergeCell ref="A64:K64"/>
    <mergeCell ref="L64:M64"/>
    <mergeCell ref="A59:K59"/>
    <mergeCell ref="L59:M59"/>
    <mergeCell ref="A60:K60"/>
    <mergeCell ref="L60:M60"/>
    <mergeCell ref="A61:K61"/>
    <mergeCell ref="L61:M61"/>
    <mergeCell ref="A62:K62"/>
    <mergeCell ref="L62:M62"/>
    <mergeCell ref="A63:K63"/>
    <mergeCell ref="L63:M63"/>
    <mergeCell ref="F130:J131"/>
    <mergeCell ref="A127:K127"/>
    <mergeCell ref="A65:K65"/>
    <mergeCell ref="L65:M65"/>
    <mergeCell ref="A66:K66"/>
    <mergeCell ref="L66:M66"/>
    <mergeCell ref="A67:K67"/>
    <mergeCell ref="L67:M67"/>
    <mergeCell ref="L127:M127"/>
    <mergeCell ref="A128:K128"/>
    <mergeCell ref="L134:M134"/>
    <mergeCell ref="A130:A131"/>
    <mergeCell ref="A68:K68"/>
    <mergeCell ref="L68:M68"/>
    <mergeCell ref="K130:K131"/>
    <mergeCell ref="L130:L131"/>
    <mergeCell ref="M130:M131"/>
    <mergeCell ref="A132:M133"/>
    <mergeCell ref="B130:C131"/>
    <mergeCell ref="D130:E131"/>
    <mergeCell ref="A134:F135"/>
    <mergeCell ref="G134:H135"/>
    <mergeCell ref="I134:I135"/>
    <mergeCell ref="J134:K135"/>
    <mergeCell ref="A143:F143"/>
    <mergeCell ref="G143:H143"/>
    <mergeCell ref="J143:K143"/>
    <mergeCell ref="A138:F138"/>
    <mergeCell ref="G138:H138"/>
    <mergeCell ref="J138:K138"/>
    <mergeCell ref="A139:F139"/>
    <mergeCell ref="G139:H139"/>
    <mergeCell ref="J139:K139"/>
    <mergeCell ref="A140:F140"/>
    <mergeCell ref="G141:H141"/>
    <mergeCell ref="J141:K141"/>
    <mergeCell ref="A142:F142"/>
    <mergeCell ref="G142:H142"/>
    <mergeCell ref="J142:K142"/>
    <mergeCell ref="G162:H162"/>
    <mergeCell ref="A146:F146"/>
    <mergeCell ref="G146:H146"/>
    <mergeCell ref="J146:K146"/>
    <mergeCell ref="A147:F147"/>
    <mergeCell ref="G147:H147"/>
    <mergeCell ref="J147:K147"/>
    <mergeCell ref="J162:K162"/>
    <mergeCell ref="A158:F158"/>
    <mergeCell ref="G158:H158"/>
    <mergeCell ref="L189:M189"/>
    <mergeCell ref="A150:F150"/>
    <mergeCell ref="J150:K150"/>
    <mergeCell ref="A151:F151"/>
    <mergeCell ref="G151:H151"/>
    <mergeCell ref="J151:K151"/>
    <mergeCell ref="G164:H164"/>
    <mergeCell ref="A164:F164"/>
    <mergeCell ref="J164:K164"/>
    <mergeCell ref="A162:F162"/>
    <mergeCell ref="A189:B189"/>
    <mergeCell ref="C189:D189"/>
    <mergeCell ref="E189:F189"/>
    <mergeCell ref="G189:I189"/>
    <mergeCell ref="L186:M186"/>
    <mergeCell ref="G187:I187"/>
    <mergeCell ref="L187:M187"/>
    <mergeCell ref="A188:I188"/>
    <mergeCell ref="L188:M188"/>
    <mergeCell ref="A187:F187"/>
    <mergeCell ref="J187:K187"/>
    <mergeCell ref="J188:K188"/>
    <mergeCell ref="A192:B192"/>
    <mergeCell ref="C192:D192"/>
    <mergeCell ref="E192:F192"/>
    <mergeCell ref="G192:I192"/>
    <mergeCell ref="L190:M190"/>
    <mergeCell ref="A191:D191"/>
    <mergeCell ref="E191:F191"/>
    <mergeCell ref="G191:I191"/>
    <mergeCell ref="L191:M191"/>
    <mergeCell ref="J191:K191"/>
  </mergeCells>
  <hyperlinks>
    <hyperlink ref="H29" r:id="rId1" display="kravchenko_2@mail.ru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5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H10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38.8515625" style="3" customWidth="1"/>
    <col min="2" max="3" width="10.8515625" style="3" bestFit="1" customWidth="1"/>
    <col min="4" max="4" width="11.8515625" style="3" bestFit="1" customWidth="1"/>
    <col min="5" max="5" width="14.57421875" style="3" customWidth="1"/>
    <col min="6" max="6" width="13.00390625" style="3" customWidth="1"/>
    <col min="7" max="16384" width="9.140625" style="3" customWidth="1"/>
  </cols>
  <sheetData>
    <row r="1" ht="12.75">
      <c r="F1" s="26" t="s">
        <v>156</v>
      </c>
    </row>
    <row r="2" ht="7.5" customHeight="1"/>
    <row r="3" spans="1:6" ht="15.75">
      <c r="A3" s="287" t="s">
        <v>150</v>
      </c>
      <c r="B3" s="287"/>
      <c r="C3" s="287"/>
      <c r="D3" s="287"/>
      <c r="E3" s="287"/>
      <c r="F3" s="287"/>
    </row>
    <row r="4" ht="9" customHeight="1"/>
    <row r="5" spans="1:6" s="71" customFormat="1" ht="12.75">
      <c r="A5" s="305" t="s">
        <v>151</v>
      </c>
      <c r="B5" s="303" t="s">
        <v>176</v>
      </c>
      <c r="C5" s="304"/>
      <c r="D5" s="304"/>
      <c r="E5" s="304"/>
      <c r="F5" s="304"/>
    </row>
    <row r="6" spans="1:8" s="40" customFormat="1" ht="51">
      <c r="A6" s="306"/>
      <c r="B6" s="28" t="s">
        <v>152</v>
      </c>
      <c r="C6" s="28" t="s">
        <v>120</v>
      </c>
      <c r="D6" s="28" t="s">
        <v>153</v>
      </c>
      <c r="E6" s="28" t="s">
        <v>5</v>
      </c>
      <c r="F6" s="28" t="s">
        <v>28</v>
      </c>
      <c r="G6" s="28" t="s">
        <v>125</v>
      </c>
      <c r="H6" s="28" t="s">
        <v>1</v>
      </c>
    </row>
    <row r="7" spans="1:8" s="71" customFormat="1" ht="12.75">
      <c r="A7" s="58">
        <v>1</v>
      </c>
      <c r="B7" s="301">
        <f>A7+1</f>
        <v>2</v>
      </c>
      <c r="C7" s="302"/>
      <c r="D7" s="58">
        <f>B7+1</f>
        <v>3</v>
      </c>
      <c r="E7" s="58">
        <f>D7+1</f>
        <v>4</v>
      </c>
      <c r="F7" s="58">
        <f>E7+1</f>
        <v>5</v>
      </c>
      <c r="G7" s="58">
        <f>F7+1</f>
        <v>6</v>
      </c>
      <c r="H7" s="58">
        <f>G7+1</f>
        <v>7</v>
      </c>
    </row>
    <row r="8" spans="1:8" s="73" customFormat="1" ht="12.75">
      <c r="A8" s="72" t="s">
        <v>154</v>
      </c>
      <c r="B8" s="14">
        <v>13</v>
      </c>
      <c r="C8" s="14">
        <v>1</v>
      </c>
      <c r="D8" s="14">
        <v>4000</v>
      </c>
      <c r="E8" s="14">
        <v>1</v>
      </c>
      <c r="F8" s="117">
        <f>ROUND(B8*D8*E8/1000,1)</f>
        <v>52</v>
      </c>
      <c r="G8" s="116">
        <v>0</v>
      </c>
      <c r="H8" s="100">
        <f>F8*G8</f>
        <v>0</v>
      </c>
    </row>
    <row r="9" spans="1:8" s="73" customFormat="1" ht="12.75">
      <c r="A9" s="72" t="s">
        <v>155</v>
      </c>
      <c r="B9" s="14">
        <v>72</v>
      </c>
      <c r="C9" s="14">
        <v>1</v>
      </c>
      <c r="D9" s="14">
        <v>4300</v>
      </c>
      <c r="E9" s="14">
        <v>1</v>
      </c>
      <c r="F9" s="14">
        <f>ROUND(B9*D9*E9/1000,1)</f>
        <v>309.6</v>
      </c>
      <c r="G9" s="99">
        <v>0</v>
      </c>
      <c r="H9" s="100">
        <f>F9*G9</f>
        <v>0</v>
      </c>
    </row>
    <row r="10" spans="1:8" s="77" customFormat="1" ht="12.75">
      <c r="A10" s="65" t="s">
        <v>20</v>
      </c>
      <c r="B10" s="66"/>
      <c r="C10" s="66"/>
      <c r="D10" s="16"/>
      <c r="E10" s="16"/>
      <c r="F10" s="146">
        <f>SUM(F8:F9)</f>
        <v>361.6</v>
      </c>
      <c r="G10" s="16"/>
      <c r="H10" s="94">
        <f>SUM(H8:H9)</f>
        <v>0</v>
      </c>
    </row>
    <row r="11" s="40" customFormat="1" ht="12.75"/>
    <row r="12" s="40" customFormat="1" ht="12.75"/>
  </sheetData>
  <sheetProtection/>
  <mergeCells count="4">
    <mergeCell ref="A3:F3"/>
    <mergeCell ref="A5:A6"/>
    <mergeCell ref="B5:F5"/>
    <mergeCell ref="B7:C7"/>
  </mergeCells>
  <printOptions/>
  <pageMargins left="0.3937007874015748" right="0.3937007874015748" top="0.7874015748031497" bottom="0.1968503937007874" header="0.6299212598425197" footer="0.5118110236220472"/>
  <pageSetup blackAndWhite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H10"/>
  <sheetViews>
    <sheetView showZeros="0" zoomScalePageLayoutView="0" workbookViewId="0" topLeftCell="A1">
      <selection activeCell="A21" sqref="A20:A21"/>
    </sheetView>
  </sheetViews>
  <sheetFormatPr defaultColWidth="9.140625" defaultRowHeight="12.75"/>
  <cols>
    <col min="1" max="1" width="38.8515625" style="3" customWidth="1"/>
    <col min="2" max="3" width="10.8515625" style="3" bestFit="1" customWidth="1"/>
    <col min="4" max="4" width="11.8515625" style="3" bestFit="1" customWidth="1"/>
    <col min="5" max="5" width="14.57421875" style="3" customWidth="1"/>
    <col min="6" max="6" width="13.00390625" style="3" customWidth="1"/>
    <col min="7" max="16384" width="9.140625" style="3" customWidth="1"/>
  </cols>
  <sheetData>
    <row r="1" ht="12.75">
      <c r="F1" s="26" t="s">
        <v>358</v>
      </c>
    </row>
    <row r="2" ht="7.5" customHeight="1"/>
    <row r="3" spans="1:6" ht="15.75">
      <c r="A3" s="287" t="s">
        <v>158</v>
      </c>
      <c r="B3" s="287"/>
      <c r="C3" s="287"/>
      <c r="D3" s="287"/>
      <c r="E3" s="287"/>
      <c r="F3" s="287"/>
    </row>
    <row r="4" ht="9" customHeight="1"/>
    <row r="5" spans="1:6" s="71" customFormat="1" ht="12.75">
      <c r="A5" s="305" t="s">
        <v>151</v>
      </c>
      <c r="B5" s="303"/>
      <c r="C5" s="304"/>
      <c r="D5" s="304"/>
      <c r="E5" s="304"/>
      <c r="F5" s="304"/>
    </row>
    <row r="6" spans="1:8" s="40" customFormat="1" ht="51">
      <c r="A6" s="306"/>
      <c r="B6" s="28"/>
      <c r="C6" s="28" t="s">
        <v>120</v>
      </c>
      <c r="D6" s="28" t="s">
        <v>153</v>
      </c>
      <c r="E6" s="28" t="s">
        <v>5</v>
      </c>
      <c r="F6" s="28" t="s">
        <v>28</v>
      </c>
      <c r="G6" s="28" t="s">
        <v>125</v>
      </c>
      <c r="H6" s="28" t="s">
        <v>1</v>
      </c>
    </row>
    <row r="7" spans="1:8" s="71" customFormat="1" ht="12.75">
      <c r="A7" s="58">
        <v>1</v>
      </c>
      <c r="B7" s="301"/>
      <c r="C7" s="302"/>
      <c r="D7" s="58">
        <f>B7+1</f>
        <v>1</v>
      </c>
      <c r="E7" s="58">
        <f>D7+1</f>
        <v>2</v>
      </c>
      <c r="F7" s="58">
        <f>E7+1</f>
        <v>3</v>
      </c>
      <c r="G7" s="58">
        <f>F7+1</f>
        <v>4</v>
      </c>
      <c r="H7" s="58">
        <f>G7+1</f>
        <v>5</v>
      </c>
    </row>
    <row r="8" spans="1:8" s="73" customFormat="1" ht="12.75">
      <c r="A8" s="72" t="s">
        <v>159</v>
      </c>
      <c r="B8" s="14">
        <v>1</v>
      </c>
      <c r="C8" s="14">
        <v>1</v>
      </c>
      <c r="D8" s="14">
        <v>1500</v>
      </c>
      <c r="E8" s="14">
        <v>4</v>
      </c>
      <c r="F8" s="117">
        <f>ROUND(B8*D8*E8/1000,1)</f>
        <v>6</v>
      </c>
      <c r="G8" s="116">
        <v>0</v>
      </c>
      <c r="H8" s="100">
        <f>F8*G8</f>
        <v>0</v>
      </c>
    </row>
    <row r="9" spans="1:8" s="73" customFormat="1" ht="12.75">
      <c r="A9" s="72"/>
      <c r="B9" s="14"/>
      <c r="C9" s="14"/>
      <c r="D9" s="14"/>
      <c r="E9" s="14"/>
      <c r="F9" s="14">
        <f>ROUND(B9*D9*E9/1000,1)</f>
        <v>0</v>
      </c>
      <c r="G9" s="99">
        <v>0</v>
      </c>
      <c r="H9" s="100">
        <f>F9*G9</f>
        <v>0</v>
      </c>
    </row>
    <row r="10" spans="1:8" s="154" customFormat="1" ht="12.75">
      <c r="A10" s="135" t="s">
        <v>20</v>
      </c>
      <c r="B10" s="149"/>
      <c r="C10" s="149"/>
      <c r="D10" s="153"/>
      <c r="E10" s="153"/>
      <c r="F10" s="134">
        <f>SUM(F8:F9)</f>
        <v>6</v>
      </c>
      <c r="G10" s="153"/>
      <c r="H10" s="134">
        <f>SUM(H8:H9)</f>
        <v>0</v>
      </c>
    </row>
    <row r="11" s="40" customFormat="1" ht="12.75"/>
    <row r="12" s="40" customFormat="1" ht="12.75"/>
  </sheetData>
  <sheetProtection/>
  <mergeCells count="4">
    <mergeCell ref="A3:F3"/>
    <mergeCell ref="A5:A6"/>
    <mergeCell ref="B5:F5"/>
    <mergeCell ref="B7:C7"/>
  </mergeCells>
  <printOptions/>
  <pageMargins left="0.3937007874015748" right="0.3937007874015748" top="0.7874015748031497" bottom="0.1968503937007874" header="0.6299212598425197" footer="0.5118110236220472"/>
  <pageSetup blackAndWhite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H18"/>
  <sheetViews>
    <sheetView showZeros="0" zoomScalePageLayoutView="0" workbookViewId="0" topLeftCell="A1">
      <selection activeCell="E23" sqref="E23"/>
    </sheetView>
  </sheetViews>
  <sheetFormatPr defaultColWidth="9.140625" defaultRowHeight="12.75"/>
  <cols>
    <col min="1" max="1" width="38.8515625" style="3" customWidth="1"/>
    <col min="2" max="3" width="10.8515625" style="3" bestFit="1" customWidth="1"/>
    <col min="4" max="4" width="11.8515625" style="3" bestFit="1" customWidth="1"/>
    <col min="5" max="5" width="14.57421875" style="3" customWidth="1"/>
    <col min="6" max="6" width="13.00390625" style="3" customWidth="1"/>
    <col min="7" max="16384" width="9.140625" style="3" customWidth="1"/>
  </cols>
  <sheetData>
    <row r="1" ht="12.75">
      <c r="F1" s="26" t="s">
        <v>354</v>
      </c>
    </row>
    <row r="2" ht="7.5" customHeight="1"/>
    <row r="3" spans="1:6" ht="15.75">
      <c r="A3" s="287" t="s">
        <v>163</v>
      </c>
      <c r="B3" s="287"/>
      <c r="C3" s="287"/>
      <c r="D3" s="287"/>
      <c r="E3" s="287"/>
      <c r="F3" s="287"/>
    </row>
    <row r="4" ht="9" customHeight="1"/>
    <row r="5" spans="1:6" s="71" customFormat="1" ht="12.75">
      <c r="A5" s="305" t="s">
        <v>151</v>
      </c>
      <c r="B5" s="303" t="s">
        <v>164</v>
      </c>
      <c r="C5" s="304"/>
      <c r="D5" s="304"/>
      <c r="E5" s="304"/>
      <c r="F5" s="304"/>
    </row>
    <row r="6" spans="1:8" s="40" customFormat="1" ht="51">
      <c r="A6" s="306"/>
      <c r="B6" s="28" t="s">
        <v>161</v>
      </c>
      <c r="C6" s="28" t="s">
        <v>120</v>
      </c>
      <c r="D6" s="28" t="s">
        <v>24</v>
      </c>
      <c r="E6" s="28" t="s">
        <v>5</v>
      </c>
      <c r="F6" s="28" t="s">
        <v>28</v>
      </c>
      <c r="G6" s="28" t="s">
        <v>125</v>
      </c>
      <c r="H6" s="28" t="s">
        <v>1</v>
      </c>
    </row>
    <row r="7" spans="1:8" s="71" customFormat="1" ht="12.75">
      <c r="A7" s="58">
        <v>1</v>
      </c>
      <c r="B7" s="301">
        <f>A7+1</f>
        <v>2</v>
      </c>
      <c r="C7" s="302"/>
      <c r="D7" s="58">
        <f>B7+1</f>
        <v>3</v>
      </c>
      <c r="E7" s="58">
        <f>D7+1</f>
        <v>4</v>
      </c>
      <c r="F7" s="58">
        <f>E7+1</f>
        <v>5</v>
      </c>
      <c r="G7" s="58">
        <f>F7+1</f>
        <v>6</v>
      </c>
      <c r="H7" s="58">
        <f>G7+1</f>
        <v>7</v>
      </c>
    </row>
    <row r="8" spans="1:8" s="73" customFormat="1" ht="12.75">
      <c r="A8" s="65" t="s">
        <v>160</v>
      </c>
      <c r="B8" s="14"/>
      <c r="C8" s="14"/>
      <c r="D8" s="14"/>
      <c r="E8" s="14"/>
      <c r="F8" s="14">
        <f>ROUND(B8*D8*E8/1000,1)</f>
        <v>0</v>
      </c>
      <c r="G8" s="116"/>
      <c r="H8" s="100">
        <f>F8*G8</f>
        <v>0</v>
      </c>
    </row>
    <row r="9" spans="1:8" s="75" customFormat="1" ht="12.75">
      <c r="A9" s="118" t="s">
        <v>160</v>
      </c>
      <c r="B9" s="14">
        <v>4</v>
      </c>
      <c r="C9" s="14">
        <v>1</v>
      </c>
      <c r="D9" s="14">
        <v>1250</v>
      </c>
      <c r="E9" s="14">
        <v>4</v>
      </c>
      <c r="F9" s="15">
        <f>ROUND(C9*D9*E9/1000,1)*B9</f>
        <v>20</v>
      </c>
      <c r="G9" s="99">
        <v>1.056</v>
      </c>
      <c r="H9" s="100">
        <f aca="true" t="shared" si="0" ref="H9:H17">F9*G9</f>
        <v>21.12</v>
      </c>
    </row>
    <row r="10" spans="1:8" s="75" customFormat="1" ht="12.75">
      <c r="A10" s="74"/>
      <c r="B10" s="15"/>
      <c r="C10" s="15"/>
      <c r="D10" s="15"/>
      <c r="E10" s="15"/>
      <c r="F10" s="15">
        <f aca="true" t="shared" si="1" ref="F10:F17">ROUND(C10*D10*E10/1000,1)</f>
        <v>0</v>
      </c>
      <c r="G10" s="99"/>
      <c r="H10" s="100">
        <f t="shared" si="0"/>
        <v>0</v>
      </c>
    </row>
    <row r="11" spans="1:8" s="73" customFormat="1" ht="12.75">
      <c r="A11" s="72"/>
      <c r="B11" s="14"/>
      <c r="C11" s="14"/>
      <c r="D11" s="14"/>
      <c r="E11" s="14"/>
      <c r="F11" s="14">
        <f t="shared" si="1"/>
        <v>0</v>
      </c>
      <c r="G11" s="99"/>
      <c r="H11" s="100">
        <f t="shared" si="0"/>
        <v>0</v>
      </c>
    </row>
    <row r="12" spans="1:8" s="73" customFormat="1" ht="12.75">
      <c r="A12" s="72"/>
      <c r="B12" s="14"/>
      <c r="C12" s="14"/>
      <c r="D12" s="14"/>
      <c r="E12" s="14"/>
      <c r="F12" s="14">
        <f t="shared" si="1"/>
        <v>0</v>
      </c>
      <c r="G12" s="99"/>
      <c r="H12" s="100">
        <f t="shared" si="0"/>
        <v>0</v>
      </c>
    </row>
    <row r="13" spans="1:8" s="73" customFormat="1" ht="12.75">
      <c r="A13" s="72"/>
      <c r="B13" s="14"/>
      <c r="C13" s="14"/>
      <c r="D13" s="14">
        <v>0</v>
      </c>
      <c r="E13" s="14"/>
      <c r="F13" s="14">
        <f t="shared" si="1"/>
        <v>0</v>
      </c>
      <c r="G13" s="99"/>
      <c r="H13" s="100">
        <f t="shared" si="0"/>
        <v>0</v>
      </c>
    </row>
    <row r="14" spans="1:8" s="73" customFormat="1" ht="12.75">
      <c r="A14" s="72"/>
      <c r="B14" s="14"/>
      <c r="C14" s="14"/>
      <c r="D14" s="14">
        <v>0</v>
      </c>
      <c r="E14" s="14"/>
      <c r="F14" s="14">
        <f t="shared" si="1"/>
        <v>0</v>
      </c>
      <c r="G14" s="99"/>
      <c r="H14" s="100">
        <f t="shared" si="0"/>
        <v>0</v>
      </c>
    </row>
    <row r="15" spans="1:8" s="73" customFormat="1" ht="12.75">
      <c r="A15" s="76"/>
      <c r="B15" s="14">
        <v>0</v>
      </c>
      <c r="C15" s="14"/>
      <c r="D15" s="14">
        <v>0</v>
      </c>
      <c r="E15" s="14"/>
      <c r="F15" s="14">
        <f t="shared" si="1"/>
        <v>0</v>
      </c>
      <c r="G15" s="99"/>
      <c r="H15" s="100">
        <f t="shared" si="0"/>
        <v>0</v>
      </c>
    </row>
    <row r="16" spans="1:8" s="73" customFormat="1" ht="12.75">
      <c r="A16" s="76"/>
      <c r="B16" s="14"/>
      <c r="C16" s="14"/>
      <c r="D16" s="14"/>
      <c r="E16" s="14"/>
      <c r="F16" s="14">
        <f t="shared" si="1"/>
        <v>0</v>
      </c>
      <c r="G16" s="99"/>
      <c r="H16" s="100">
        <f t="shared" si="0"/>
        <v>0</v>
      </c>
    </row>
    <row r="17" spans="1:8" s="73" customFormat="1" ht="12.75">
      <c r="A17" s="76"/>
      <c r="B17" s="14"/>
      <c r="C17" s="14"/>
      <c r="D17" s="14">
        <v>0</v>
      </c>
      <c r="E17" s="14"/>
      <c r="F17" s="14">
        <f t="shared" si="1"/>
        <v>0</v>
      </c>
      <c r="G17" s="99"/>
      <c r="H17" s="100">
        <f t="shared" si="0"/>
        <v>0</v>
      </c>
    </row>
    <row r="18" spans="1:8" s="77" customFormat="1" ht="12.75">
      <c r="A18" s="65" t="s">
        <v>20</v>
      </c>
      <c r="B18" s="66"/>
      <c r="C18" s="66"/>
      <c r="D18" s="16"/>
      <c r="E18" s="16"/>
      <c r="F18" s="16">
        <f>SUM(F8:F8,F11:F17)</f>
        <v>0</v>
      </c>
      <c r="G18" s="16"/>
      <c r="H18" s="94">
        <f>H9</f>
        <v>21.12</v>
      </c>
    </row>
    <row r="19" s="40" customFormat="1" ht="12.75"/>
    <row r="20" s="40" customFormat="1" ht="12.75"/>
  </sheetData>
  <sheetProtection/>
  <mergeCells count="4">
    <mergeCell ref="A3:F3"/>
    <mergeCell ref="A5:A6"/>
    <mergeCell ref="B5:F5"/>
    <mergeCell ref="B7:C7"/>
  </mergeCells>
  <printOptions/>
  <pageMargins left="0.3937007874015748" right="0.3937007874015748" top="0.7874015748031497" bottom="0.1968503937007874" header="0.6299212598425197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Zeros="0"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7.28125" style="0" customWidth="1"/>
    <col min="2" max="2" width="14.28125" style="86" customWidth="1"/>
    <col min="3" max="3" width="9.00390625" style="86" customWidth="1"/>
    <col min="4" max="4" width="7.140625" style="86" customWidth="1"/>
    <col min="5" max="5" width="10.140625" style="86" customWidth="1"/>
    <col min="6" max="8" width="9.00390625" style="86" customWidth="1"/>
    <col min="9" max="9" width="7.7109375" style="86" customWidth="1"/>
    <col min="10" max="11" width="9.00390625" style="86" customWidth="1"/>
    <col min="12" max="12" width="8.57421875" style="86" customWidth="1"/>
    <col min="13" max="13" width="9.00390625" style="86" customWidth="1"/>
    <col min="14" max="14" width="8.140625" style="0" customWidth="1"/>
    <col min="15" max="15" width="10.7109375" style="0" customWidth="1"/>
  </cols>
  <sheetData>
    <row r="1" spans="2:15" ht="15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8" t="s">
        <v>135</v>
      </c>
    </row>
    <row r="2" spans="1:13" ht="15.75">
      <c r="A2" s="257" t="s">
        <v>113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5.75">
      <c r="A3" s="106" t="s">
        <v>357</v>
      </c>
      <c r="B3" s="79"/>
      <c r="C3" s="80"/>
      <c r="D3" s="80"/>
      <c r="E3" s="80"/>
      <c r="F3" s="79"/>
      <c r="G3" s="79"/>
      <c r="H3" s="79"/>
      <c r="I3" s="79"/>
      <c r="J3" s="80"/>
      <c r="K3" s="80"/>
      <c r="L3" s="81"/>
      <c r="M3" s="81"/>
    </row>
    <row r="4" spans="1:16" s="9" customFormat="1" ht="11.25" customHeight="1">
      <c r="A4" s="254" t="s">
        <v>51</v>
      </c>
      <c r="B4" s="254" t="s">
        <v>12</v>
      </c>
      <c r="C4" s="255" t="s">
        <v>44</v>
      </c>
      <c r="D4" s="255" t="s">
        <v>109</v>
      </c>
      <c r="E4" s="261" t="s">
        <v>166</v>
      </c>
      <c r="F4" s="258" t="s">
        <v>8</v>
      </c>
      <c r="G4" s="259"/>
      <c r="H4" s="259"/>
      <c r="I4" s="260"/>
      <c r="J4" s="255" t="s">
        <v>14</v>
      </c>
      <c r="K4" s="255" t="s">
        <v>133</v>
      </c>
      <c r="L4" s="255" t="s">
        <v>45</v>
      </c>
      <c r="M4" s="255" t="s">
        <v>46</v>
      </c>
      <c r="N4" s="255" t="s">
        <v>112</v>
      </c>
      <c r="O4" s="255" t="s">
        <v>134</v>
      </c>
      <c r="P4" s="255" t="s">
        <v>6</v>
      </c>
    </row>
    <row r="5" spans="1:16" s="9" customFormat="1" ht="120" customHeight="1">
      <c r="A5" s="254"/>
      <c r="B5" s="254"/>
      <c r="C5" s="256"/>
      <c r="D5" s="256"/>
      <c r="E5" s="256"/>
      <c r="F5" s="83" t="s">
        <v>167</v>
      </c>
      <c r="G5" s="83" t="s">
        <v>168</v>
      </c>
      <c r="H5" s="83" t="s">
        <v>178</v>
      </c>
      <c r="I5" s="82" t="s">
        <v>9</v>
      </c>
      <c r="J5" s="256"/>
      <c r="K5" s="256"/>
      <c r="L5" s="256"/>
      <c r="M5" s="256"/>
      <c r="N5" s="256"/>
      <c r="O5" s="256"/>
      <c r="P5" s="256"/>
    </row>
    <row r="6" spans="1:16" s="9" customFormat="1" ht="22.5">
      <c r="A6" s="10"/>
      <c r="B6" s="82" t="s">
        <v>10</v>
      </c>
      <c r="C6" s="84" t="s">
        <v>10</v>
      </c>
      <c r="D6" s="84" t="s">
        <v>10</v>
      </c>
      <c r="E6" s="84" t="s">
        <v>10</v>
      </c>
      <c r="F6" s="85" t="s">
        <v>10</v>
      </c>
      <c r="G6" s="85" t="s">
        <v>10</v>
      </c>
      <c r="H6" s="85" t="s">
        <v>10</v>
      </c>
      <c r="I6" s="84" t="s">
        <v>10</v>
      </c>
      <c r="J6" s="84" t="s">
        <v>10</v>
      </c>
      <c r="K6" s="84" t="s">
        <v>10</v>
      </c>
      <c r="L6" s="84" t="s">
        <v>177</v>
      </c>
      <c r="M6" s="84" t="s">
        <v>48</v>
      </c>
      <c r="N6" s="84" t="s">
        <v>110</v>
      </c>
      <c r="O6" s="84" t="s">
        <v>48</v>
      </c>
      <c r="P6" s="84" t="s">
        <v>10</v>
      </c>
    </row>
    <row r="7" spans="1:16" s="12" customFormat="1" ht="12">
      <c r="A7" s="18">
        <v>1</v>
      </c>
      <c r="B7" s="11">
        <f>A7+1</f>
        <v>2</v>
      </c>
      <c r="C7" s="11">
        <f>B7+1</f>
        <v>3</v>
      </c>
      <c r="D7" s="11">
        <f>C7+1</f>
        <v>4</v>
      </c>
      <c r="E7" s="11">
        <f aca="true" t="shared" si="0" ref="E7:L7">D7+1</f>
        <v>5</v>
      </c>
      <c r="F7" s="11">
        <f t="shared" si="0"/>
        <v>6</v>
      </c>
      <c r="G7" s="11">
        <f t="shared" si="0"/>
        <v>7</v>
      </c>
      <c r="H7" s="11">
        <f t="shared" si="0"/>
        <v>8</v>
      </c>
      <c r="I7" s="11">
        <f t="shared" si="0"/>
        <v>9</v>
      </c>
      <c r="J7" s="11">
        <f t="shared" si="0"/>
        <v>10</v>
      </c>
      <c r="K7" s="11">
        <f t="shared" si="0"/>
        <v>11</v>
      </c>
      <c r="L7" s="11">
        <f t="shared" si="0"/>
        <v>12</v>
      </c>
      <c r="M7" s="23" t="str">
        <f>CONCATENATE(L7+1,"=",K7,"/",L7)</f>
        <v>13=11/12</v>
      </c>
      <c r="N7" s="11">
        <v>14</v>
      </c>
      <c r="O7" s="23" t="s">
        <v>111</v>
      </c>
      <c r="P7" s="11">
        <v>16</v>
      </c>
    </row>
    <row r="8" spans="1:16" s="12" customFormat="1" ht="29.25" customHeight="1" hidden="1">
      <c r="A8" s="21" t="s">
        <v>50</v>
      </c>
      <c r="B8" s="13"/>
      <c r="C8" s="13"/>
      <c r="D8" s="13"/>
      <c r="E8" s="13"/>
      <c r="F8" s="19"/>
      <c r="G8" s="19"/>
      <c r="H8" s="19"/>
      <c r="I8" s="13">
        <f>SUM(F8:H8)</f>
        <v>0</v>
      </c>
      <c r="J8" s="13"/>
      <c r="K8" s="13">
        <f>SUM(B8:E8,P8,I8:J8)</f>
        <v>0</v>
      </c>
      <c r="L8" s="22">
        <v>874758</v>
      </c>
      <c r="M8" s="13">
        <f>ROUND(K8*1000/L8,2)</f>
        <v>0</v>
      </c>
      <c r="N8" s="22">
        <v>874758</v>
      </c>
      <c r="O8" s="13">
        <f>ROUND(M8*1000/N8,2)</f>
        <v>0</v>
      </c>
      <c r="P8" s="13"/>
    </row>
    <row r="9" spans="1:16" s="12" customFormat="1" ht="29.25" customHeight="1" hidden="1">
      <c r="A9" s="21" t="s">
        <v>49</v>
      </c>
      <c r="B9" s="13"/>
      <c r="C9" s="13"/>
      <c r="D9" s="13"/>
      <c r="E9" s="13"/>
      <c r="F9" s="19"/>
      <c r="G9" s="19"/>
      <c r="H9" s="19"/>
      <c r="I9" s="13">
        <f>SUM(F9:H9)</f>
        <v>0</v>
      </c>
      <c r="J9" s="13"/>
      <c r="K9" s="13">
        <f>SUM(B9:E9,P9,I9:J9)</f>
        <v>0</v>
      </c>
      <c r="L9" s="22">
        <v>870200</v>
      </c>
      <c r="M9" s="13">
        <f>ROUND(K9*1000/L9,2)</f>
        <v>0</v>
      </c>
      <c r="N9" s="22">
        <v>870200</v>
      </c>
      <c r="O9" s="13">
        <f>ROUND(M9*1000/N9,2)</f>
        <v>0</v>
      </c>
      <c r="P9" s="13"/>
    </row>
    <row r="10" spans="1:16" s="12" customFormat="1" ht="29.25" customHeight="1" hidden="1">
      <c r="A10" s="21" t="s">
        <v>47</v>
      </c>
      <c r="B10" s="13">
        <v>21837</v>
      </c>
      <c r="C10" s="13">
        <f>'3.ГарантИкомп СОШ 2'!N12</f>
        <v>351.96000000000004</v>
      </c>
      <c r="D10" s="13">
        <f>'3.ГарантИкомп СОШ 2'!O12</f>
        <v>0</v>
      </c>
      <c r="E10" s="13">
        <f>'4.КомУсл 223'!G15</f>
        <v>0</v>
      </c>
      <c r="F10" s="19" t="e">
        <f>'6.УслСвязи 221,222'!#REF!</f>
        <v>#REF!</v>
      </c>
      <c r="G10" s="19">
        <v>3740.7</v>
      </c>
      <c r="H10" s="19">
        <v>934</v>
      </c>
      <c r="I10" s="13" t="e">
        <f>SUM(F10:H10)</f>
        <v>#REF!</v>
      </c>
      <c r="J10" s="13">
        <f>'7.Отраслевые'!D15</f>
        <v>40.9</v>
      </c>
      <c r="K10" s="13" t="e">
        <f>SUM(B10:E10,P10,I10:J10)</f>
        <v>#REF!</v>
      </c>
      <c r="L10" s="22">
        <v>870200</v>
      </c>
      <c r="M10" s="13" t="e">
        <f>ROUND(K10*1000/L10,2)</f>
        <v>#REF!</v>
      </c>
      <c r="N10" s="22">
        <v>870200</v>
      </c>
      <c r="O10" s="13" t="e">
        <f>ROUND(M10*1000/N10,2)</f>
        <v>#REF!</v>
      </c>
      <c r="P10" s="13" t="e">
        <f>'5.СодНедвижИмущ 225,226'!#REF!</f>
        <v>#REF!</v>
      </c>
    </row>
    <row r="11" spans="1:16" s="12" customFormat="1" ht="36">
      <c r="A11" s="21" t="s">
        <v>165</v>
      </c>
      <c r="B11" s="13">
        <f>'2.ФОТ'!W9</f>
        <v>394.65061499999996</v>
      </c>
      <c r="C11" s="120">
        <f>'3.ГарантИкомп СОШ 2'!N12</f>
        <v>351.96000000000004</v>
      </c>
      <c r="D11" s="120">
        <f>'3.ГарантИкомп СОШ 2'!O13</f>
        <v>0</v>
      </c>
      <c r="E11" s="120">
        <f>'4.КомУсл 223'!E15</f>
        <v>4585.200000000001</v>
      </c>
      <c r="F11" s="123">
        <f>'6.УслСвязи 221,222'!H19</f>
        <v>40.128</v>
      </c>
      <c r="G11" s="19">
        <f>'2.ФОТ'!W10</f>
        <v>1578.161755</v>
      </c>
      <c r="H11" s="123">
        <f>'8.ДрОбщехоз-е'!G15+'8.ДрОбщехоз-е'!E25+'Медосмотр '!F10+'Налоги 290'!F10+'6. Авто.усл. 222 '!H18+'5.СодНедвижИмущ 225,226'!F25-P11</f>
        <v>921.72</v>
      </c>
      <c r="I11" s="13">
        <f>F11+G11+H11</f>
        <v>2540.009755</v>
      </c>
      <c r="J11" s="120">
        <f>'7.Отраслевые'!D15</f>
        <v>40.9</v>
      </c>
      <c r="K11" s="13">
        <f>B11+C11+E11+I11+J11</f>
        <v>7912.72037</v>
      </c>
      <c r="L11" s="125">
        <v>0.845</v>
      </c>
      <c r="M11" s="89">
        <f>K11/L11</f>
        <v>9364.166118343195</v>
      </c>
      <c r="N11" s="126">
        <v>1</v>
      </c>
      <c r="O11" s="89">
        <f>M11*N11</f>
        <v>9364.166118343195</v>
      </c>
      <c r="P11" s="120">
        <f>'5.СодНедвижИмущ 225,226'!F25</f>
        <v>661.3389</v>
      </c>
    </row>
    <row r="12" spans="1:16" s="12" customFormat="1" ht="29.25" customHeight="1">
      <c r="A12" s="21"/>
      <c r="B12" s="13"/>
      <c r="C12" s="13">
        <f>'3.ГарантИкомп СОШ 2'!N14</f>
        <v>0</v>
      </c>
      <c r="D12" s="13">
        <f>'3.ГарантИкомп СОШ 2'!O14</f>
        <v>0</v>
      </c>
      <c r="E12" s="13">
        <f>'4.КомУсл 223'!G17</f>
        <v>0</v>
      </c>
      <c r="F12" s="19"/>
      <c r="G12" s="19"/>
      <c r="H12" s="19"/>
      <c r="I12" s="13"/>
      <c r="J12" s="13"/>
      <c r="K12" s="13"/>
      <c r="L12" s="22"/>
      <c r="M12" s="13"/>
      <c r="N12" s="22"/>
      <c r="O12" s="13"/>
      <c r="P12" s="13"/>
    </row>
    <row r="15" spans="1:5" ht="12.75">
      <c r="A15">
        <v>211</v>
      </c>
      <c r="B15" s="132">
        <f>'2.ФОТ'!W8*1000</f>
        <v>1972812.37</v>
      </c>
      <c r="E15" s="131"/>
    </row>
    <row r="16" spans="1:2" ht="12.75">
      <c r="A16">
        <v>212</v>
      </c>
      <c r="B16" s="132">
        <f>('3.ГарантИкомп СОШ 2'!E12+'3.ГарантИкомп СОШ 2'!I12+'8.ДрОбщехоз-е'!E22)*1000</f>
        <v>355400.00000000006</v>
      </c>
    </row>
    <row r="17" spans="1:2" ht="12.75">
      <c r="A17">
        <v>213</v>
      </c>
      <c r="B17" s="132">
        <f>595.79*1000</f>
        <v>595790</v>
      </c>
    </row>
    <row r="18" spans="1:2" ht="12.75">
      <c r="A18">
        <v>221</v>
      </c>
      <c r="B18" s="132">
        <f>'6.УслСвязи 221,222'!H19*1000</f>
        <v>40128</v>
      </c>
    </row>
    <row r="19" spans="1:2" ht="12.75">
      <c r="A19">
        <v>222</v>
      </c>
      <c r="B19" s="132">
        <f>('8.ДрОбщехоз-е'!G10+'8.ДрОбщехоз-е'!E24+'6. Авто.усл. 222 '!H18)*1000</f>
        <v>206120</v>
      </c>
    </row>
    <row r="20" spans="1:2" ht="12.75">
      <c r="A20">
        <v>223</v>
      </c>
      <c r="B20" s="132">
        <f>'4.КомУсл 223'!E15*1000</f>
        <v>4585200.000000001</v>
      </c>
    </row>
    <row r="21" spans="1:2" ht="12.75">
      <c r="A21">
        <v>225</v>
      </c>
      <c r="B21" s="132">
        <f>('5.СодНедвижИмущ 225,226'!F10+'5.СодНедвижИмущ 225,226'!F12+'5.СодНедвижИмущ 225,226'!F14+'5.СодНедвижИмущ 225,226'!F18+143.54)*1000</f>
        <v>599064</v>
      </c>
    </row>
    <row r="22" spans="1:2" ht="12.75">
      <c r="A22">
        <v>226</v>
      </c>
      <c r="B22" s="132">
        <f>('Медосмотр '!F10+'8.ДрОбщехоз-е'!E23+'7.Отраслевые'!D15+'5.СодНедвижИмущ 225,226'!F16)*1000</f>
        <v>441684</v>
      </c>
    </row>
    <row r="23" spans="1:2" ht="12.75">
      <c r="A23">
        <v>290</v>
      </c>
      <c r="B23" s="132">
        <f>'Налоги 290'!F10*1000</f>
        <v>6000</v>
      </c>
    </row>
    <row r="24" spans="1:2" ht="12.75">
      <c r="A24">
        <v>310</v>
      </c>
      <c r="B24" s="132"/>
    </row>
    <row r="25" spans="1:2" ht="12.75">
      <c r="A25">
        <v>340</v>
      </c>
      <c r="B25" s="132">
        <f>('8.ДрОбщехоз-е'!G12+'8.ДрОбщехоз-е'!G14)*1000</f>
        <v>334700</v>
      </c>
    </row>
    <row r="26" ht="12.75">
      <c r="B26" s="132">
        <f>B15+B16+B17+B18+B19+B20+B21+B22+B23+B25</f>
        <v>9136898.370000001</v>
      </c>
    </row>
  </sheetData>
  <sheetProtection/>
  <mergeCells count="14">
    <mergeCell ref="P4:P5"/>
    <mergeCell ref="F4:I4"/>
    <mergeCell ref="B4:B5"/>
    <mergeCell ref="E4:E5"/>
    <mergeCell ref="K4:K5"/>
    <mergeCell ref="J4:J5"/>
    <mergeCell ref="L4:L5"/>
    <mergeCell ref="O4:O5"/>
    <mergeCell ref="M4:M5"/>
    <mergeCell ref="A4:A5"/>
    <mergeCell ref="D4:D5"/>
    <mergeCell ref="N4:N5"/>
    <mergeCell ref="A2:M2"/>
    <mergeCell ref="C4:C5"/>
  </mergeCells>
  <printOptions horizontalCentered="1"/>
  <pageMargins left="0.3937007874015748" right="0.3937007874015748" top="0.984251968503937" bottom="0.5905511811023623" header="0.5118110236220472" footer="0.31496062992125984"/>
  <pageSetup blackAndWhite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showZeros="0" view="pageBreakPreview" zoomScale="90" zoomScaleSheetLayoutView="90" zoomScalePageLayoutView="0" workbookViewId="0" topLeftCell="D1">
      <selection activeCell="S11" sqref="S11"/>
    </sheetView>
  </sheetViews>
  <sheetFormatPr defaultColWidth="9.140625" defaultRowHeight="12.75" outlineLevelRow="1" outlineLevelCol="1"/>
  <cols>
    <col min="1" max="1" width="3.28125" style="43" customWidth="1" outlineLevel="1" collapsed="1"/>
    <col min="2" max="2" width="26.57421875" style="25" customWidth="1"/>
    <col min="3" max="3" width="5.421875" style="25" customWidth="1"/>
    <col min="4" max="4" width="6.421875" style="41" customWidth="1"/>
    <col min="5" max="5" width="6.57421875" style="41" customWidth="1"/>
    <col min="6" max="6" width="6.421875" style="41" customWidth="1"/>
    <col min="7" max="7" width="7.421875" style="41" customWidth="1"/>
    <col min="8" max="8" width="6.421875" style="41" customWidth="1"/>
    <col min="9" max="9" width="7.57421875" style="41" customWidth="1"/>
    <col min="10" max="10" width="5.57421875" style="41" customWidth="1"/>
    <col min="11" max="11" width="6.57421875" style="41" bestFit="1" customWidth="1"/>
    <col min="12" max="12" width="7.57421875" style="41" customWidth="1"/>
    <col min="13" max="13" width="7.00390625" style="41" customWidth="1"/>
    <col min="14" max="14" width="6.28125" style="41" customWidth="1"/>
    <col min="15" max="15" width="6.57421875" style="41" bestFit="1" customWidth="1"/>
    <col min="16" max="17" width="6.7109375" style="41" customWidth="1" outlineLevel="1"/>
    <col min="18" max="18" width="6.140625" style="41" customWidth="1" outlineLevel="1"/>
    <col min="19" max="19" width="5.57421875" style="41" customWidth="1" outlineLevel="1"/>
    <col min="20" max="20" width="5.8515625" style="41" customWidth="1" outlineLevel="1"/>
    <col min="21" max="21" width="6.8515625" style="41" customWidth="1" outlineLevel="1"/>
    <col min="22" max="22" width="8.28125" style="41" customWidth="1"/>
    <col min="23" max="23" width="9.421875" style="4" customWidth="1"/>
    <col min="24" max="24" width="7.00390625" style="43" customWidth="1"/>
    <col min="25" max="25" width="9.140625" style="43" customWidth="1"/>
    <col min="26" max="27" width="9.57421875" style="43" bestFit="1" customWidth="1"/>
    <col min="28" max="16384" width="9.140625" style="43" customWidth="1"/>
  </cols>
  <sheetData>
    <row r="1" spans="1:25" ht="12.75">
      <c r="A1" s="40"/>
      <c r="X1" s="42"/>
      <c r="Y1" s="42" t="s">
        <v>136</v>
      </c>
    </row>
    <row r="2" spans="1:25" s="27" customFormat="1" ht="13.5" customHeight="1">
      <c r="A2" s="266" t="s">
        <v>99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s="44" customFormat="1" ht="12.75" customHeight="1" outlineLevel="1">
      <c r="A3" s="267"/>
      <c r="B3" s="262" t="s">
        <v>51</v>
      </c>
      <c r="C3" s="28"/>
      <c r="D3" s="269"/>
      <c r="E3" s="270"/>
      <c r="F3" s="271"/>
      <c r="G3" s="271"/>
      <c r="H3" s="271"/>
      <c r="I3" s="271"/>
      <c r="J3" s="271"/>
      <c r="K3" s="271"/>
      <c r="L3" s="271"/>
      <c r="M3" s="271"/>
      <c r="N3" s="271"/>
      <c r="O3" s="272"/>
      <c r="P3" s="271"/>
      <c r="Q3" s="271"/>
      <c r="R3" s="271"/>
      <c r="S3" s="271"/>
      <c r="T3" s="271"/>
      <c r="U3" s="271"/>
      <c r="V3" s="269"/>
      <c r="W3" s="271"/>
      <c r="X3" s="271"/>
      <c r="Y3" s="272"/>
    </row>
    <row r="4" spans="1:25" s="45" customFormat="1" ht="88.5" customHeight="1">
      <c r="A4" s="267"/>
      <c r="B4" s="262"/>
      <c r="C4" s="262" t="s">
        <v>52</v>
      </c>
      <c r="D4" s="29" t="s">
        <v>16</v>
      </c>
      <c r="E4" s="262" t="s">
        <v>53</v>
      </c>
      <c r="F4" s="262"/>
      <c r="G4" s="262" t="s">
        <v>54</v>
      </c>
      <c r="H4" s="262"/>
      <c r="I4" s="262"/>
      <c r="J4" s="262" t="s">
        <v>55</v>
      </c>
      <c r="K4" s="262"/>
      <c r="L4" s="262"/>
      <c r="M4" s="262" t="s">
        <v>56</v>
      </c>
      <c r="N4" s="262"/>
      <c r="O4" s="262"/>
      <c r="P4" s="263" t="s">
        <v>57</v>
      </c>
      <c r="Q4" s="263"/>
      <c r="R4" s="264"/>
      <c r="S4" s="265" t="s">
        <v>58</v>
      </c>
      <c r="T4" s="263"/>
      <c r="U4" s="264"/>
      <c r="V4" s="262" t="s">
        <v>59</v>
      </c>
      <c r="W4" s="262" t="s">
        <v>60</v>
      </c>
      <c r="X4" s="262" t="s">
        <v>61</v>
      </c>
      <c r="Y4" s="262" t="s">
        <v>62</v>
      </c>
    </row>
    <row r="5" spans="1:25" s="32" customFormat="1" ht="125.25" customHeight="1">
      <c r="A5" s="268"/>
      <c r="B5" s="262"/>
      <c r="C5" s="262"/>
      <c r="D5" s="30" t="s">
        <v>114</v>
      </c>
      <c r="E5" s="30" t="s">
        <v>63</v>
      </c>
      <c r="F5" s="30" t="s">
        <v>64</v>
      </c>
      <c r="G5" s="30" t="s">
        <v>65</v>
      </c>
      <c r="H5" s="30" t="s">
        <v>66</v>
      </c>
      <c r="I5" s="30" t="s">
        <v>67</v>
      </c>
      <c r="J5" s="30" t="s">
        <v>65</v>
      </c>
      <c r="K5" s="30" t="s">
        <v>66</v>
      </c>
      <c r="L5" s="30" t="s">
        <v>68</v>
      </c>
      <c r="M5" s="30" t="s">
        <v>65</v>
      </c>
      <c r="N5" s="30" t="s">
        <v>66</v>
      </c>
      <c r="O5" s="30" t="s">
        <v>69</v>
      </c>
      <c r="P5" s="31" t="s">
        <v>65</v>
      </c>
      <c r="Q5" s="30" t="s">
        <v>66</v>
      </c>
      <c r="R5" s="30" t="s">
        <v>70</v>
      </c>
      <c r="S5" s="30" t="s">
        <v>65</v>
      </c>
      <c r="T5" s="30" t="s">
        <v>66</v>
      </c>
      <c r="U5" s="30" t="s">
        <v>70</v>
      </c>
      <c r="V5" s="262"/>
      <c r="W5" s="262"/>
      <c r="X5" s="262"/>
      <c r="Y5" s="262"/>
    </row>
    <row r="6" spans="1:25" s="36" customFormat="1" ht="10.5" customHeight="1">
      <c r="A6" s="33">
        <v>1</v>
      </c>
      <c r="B6" s="33">
        <v>1</v>
      </c>
      <c r="C6" s="33">
        <v>2</v>
      </c>
      <c r="D6" s="33">
        <f>C6+1</f>
        <v>3</v>
      </c>
      <c r="E6" s="33">
        <f>D6+1</f>
        <v>4</v>
      </c>
      <c r="F6" s="33">
        <f aca="true" t="shared" si="0" ref="F6:O6">E6+1</f>
        <v>5</v>
      </c>
      <c r="G6" s="33">
        <f t="shared" si="0"/>
        <v>6</v>
      </c>
      <c r="H6" s="33">
        <f t="shared" si="0"/>
        <v>7</v>
      </c>
      <c r="I6" s="33">
        <f t="shared" si="0"/>
        <v>8</v>
      </c>
      <c r="J6" s="33">
        <f t="shared" si="0"/>
        <v>9</v>
      </c>
      <c r="K6" s="33">
        <f t="shared" si="0"/>
        <v>10</v>
      </c>
      <c r="L6" s="33">
        <f t="shared" si="0"/>
        <v>11</v>
      </c>
      <c r="M6" s="33">
        <f t="shared" si="0"/>
        <v>12</v>
      </c>
      <c r="N6" s="33">
        <f t="shared" si="0"/>
        <v>13</v>
      </c>
      <c r="O6" s="33">
        <f t="shared" si="0"/>
        <v>14</v>
      </c>
      <c r="P6" s="34" t="s">
        <v>71</v>
      </c>
      <c r="Q6" s="35" t="s">
        <v>72</v>
      </c>
      <c r="R6" s="35" t="s">
        <v>73</v>
      </c>
      <c r="S6" s="35" t="s">
        <v>74</v>
      </c>
      <c r="T6" s="35" t="s">
        <v>75</v>
      </c>
      <c r="U6" s="35" t="s">
        <v>76</v>
      </c>
      <c r="V6" s="33">
        <f>O6+1</f>
        <v>15</v>
      </c>
      <c r="W6" s="33">
        <f>V6+1</f>
        <v>16</v>
      </c>
      <c r="X6" s="33">
        <f>W6+1</f>
        <v>17</v>
      </c>
      <c r="Y6" s="33">
        <f>X6+1</f>
        <v>18</v>
      </c>
    </row>
    <row r="7" spans="1:25" s="4" customFormat="1" ht="21" customHeight="1">
      <c r="A7" s="46">
        <v>1</v>
      </c>
      <c r="B7" s="47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f aca="true" t="shared" si="1" ref="Y7:Y70">ROUND(W7*X7,1)</f>
        <v>0</v>
      </c>
    </row>
    <row r="8" spans="1:25" s="39" customFormat="1" ht="50.25" customHeight="1">
      <c r="A8" s="37"/>
      <c r="B8" s="38" t="s">
        <v>77</v>
      </c>
      <c r="C8" s="38"/>
      <c r="D8" s="24">
        <f>+D9+D10</f>
        <v>8.4</v>
      </c>
      <c r="E8" s="113">
        <f aca="true" t="shared" si="2" ref="E8:Y8">+E9+E10</f>
        <v>44.879999999999995</v>
      </c>
      <c r="F8" s="113">
        <f t="shared" si="2"/>
        <v>547.2916</v>
      </c>
      <c r="G8" s="113">
        <f t="shared" si="2"/>
        <v>0</v>
      </c>
      <c r="H8" s="113">
        <f t="shared" si="2"/>
        <v>0</v>
      </c>
      <c r="I8" s="113">
        <f t="shared" si="2"/>
        <v>0</v>
      </c>
      <c r="J8" s="113">
        <f t="shared" si="2"/>
        <v>20.21</v>
      </c>
      <c r="K8" s="113">
        <f t="shared" si="2"/>
        <v>246.47095000000002</v>
      </c>
      <c r="L8" s="113">
        <f t="shared" si="2"/>
        <v>90.06</v>
      </c>
      <c r="M8" s="113">
        <f t="shared" si="2"/>
        <v>20.049999999999997</v>
      </c>
      <c r="N8" s="113">
        <f t="shared" si="2"/>
        <v>244.55975</v>
      </c>
      <c r="O8" s="113">
        <f t="shared" si="2"/>
        <v>61.61</v>
      </c>
      <c r="P8" s="113">
        <f t="shared" si="2"/>
        <v>13.02</v>
      </c>
      <c r="Q8" s="113">
        <f t="shared" si="2"/>
        <v>158.7989</v>
      </c>
      <c r="R8" s="113">
        <f t="shared" si="2"/>
        <v>39.989999999999995</v>
      </c>
      <c r="S8" s="113">
        <f t="shared" si="2"/>
        <v>7.03</v>
      </c>
      <c r="T8" s="113">
        <f t="shared" si="2"/>
        <v>85.76085</v>
      </c>
      <c r="U8" s="113">
        <f t="shared" si="2"/>
        <v>21.630000000000003</v>
      </c>
      <c r="V8" s="113">
        <f t="shared" si="2"/>
        <v>1038.3223</v>
      </c>
      <c r="W8" s="114">
        <f t="shared" si="2"/>
        <v>1972.81237</v>
      </c>
      <c r="X8" s="115">
        <v>1.302</v>
      </c>
      <c r="Y8" s="114">
        <f t="shared" si="2"/>
        <v>2568.6000000000004</v>
      </c>
    </row>
    <row r="9" spans="1:25" s="39" customFormat="1" ht="27" customHeight="1">
      <c r="A9" s="37"/>
      <c r="B9" s="38" t="s">
        <v>78</v>
      </c>
      <c r="C9" s="38"/>
      <c r="D9" s="24">
        <v>1.68</v>
      </c>
      <c r="E9" s="113">
        <v>8.98</v>
      </c>
      <c r="F9" s="113">
        <f>ROUND(E9*9,1)+E9*3*1.065</f>
        <v>109.49109999999999</v>
      </c>
      <c r="G9" s="113">
        <v>0</v>
      </c>
      <c r="H9" s="113">
        <f>ROUND(G9*9,1)+G9*3*1.065</f>
        <v>0</v>
      </c>
      <c r="I9" s="113">
        <f>IF(H9=0,0,ROUND(H9/$F9*100,2))</f>
        <v>0</v>
      </c>
      <c r="J9" s="113">
        <v>4.04</v>
      </c>
      <c r="K9" s="113">
        <f>ROUND(J9*9,1)+J9*3*1.065</f>
        <v>49.3078</v>
      </c>
      <c r="L9" s="113">
        <f>IF(K9=0,0,ROUND(K9/$F9*100,2))</f>
        <v>45.03</v>
      </c>
      <c r="M9" s="113">
        <f>+P9+S9</f>
        <v>4.01</v>
      </c>
      <c r="N9" s="113">
        <f>ROUND(M9*9,1)+M9*3*1.065</f>
        <v>48.911950000000004</v>
      </c>
      <c r="O9" s="113">
        <f>IF(N9=0,0,ROUND(N9/SUM($F9,$H9,$K9)*100,2))</f>
        <v>30.8</v>
      </c>
      <c r="P9" s="113">
        <v>2.6</v>
      </c>
      <c r="Q9" s="113">
        <f>ROUND(P9*9,1)+P9*3*1.065</f>
        <v>31.707</v>
      </c>
      <c r="R9" s="113">
        <f>IF(Q9=0,0,ROUND(Q9/SUM($F9,$H9,$K9)*100,2))</f>
        <v>19.97</v>
      </c>
      <c r="S9" s="113">
        <v>1.41</v>
      </c>
      <c r="T9" s="113">
        <f>ROUND(S9*9,1)+S9*3*1.065</f>
        <v>17.204949999999997</v>
      </c>
      <c r="U9" s="113">
        <f>IF(T9=0,0,ROUND(T9/SUM($F9,$H9,$K9)*100,2))</f>
        <v>10.83</v>
      </c>
      <c r="V9" s="113">
        <f>SUM(F9,H9,K9,N9)</f>
        <v>207.71085</v>
      </c>
      <c r="W9" s="114">
        <f>V9*1.9</f>
        <v>394.65061499999996</v>
      </c>
      <c r="X9" s="115">
        <v>1.302</v>
      </c>
      <c r="Y9" s="110">
        <f t="shared" si="1"/>
        <v>513.8</v>
      </c>
    </row>
    <row r="10" spans="1:25" s="39" customFormat="1" ht="19.5" customHeight="1">
      <c r="A10" s="37"/>
      <c r="B10" s="38" t="s">
        <v>79</v>
      </c>
      <c r="C10" s="38"/>
      <c r="D10" s="24">
        <v>6.72</v>
      </c>
      <c r="E10" s="113">
        <v>35.9</v>
      </c>
      <c r="F10" s="113">
        <f>ROUND(E10*9,1)+E10*3*1.065</f>
        <v>437.8005</v>
      </c>
      <c r="G10" s="113">
        <v>0</v>
      </c>
      <c r="H10" s="113">
        <f>ROUND(G10*9,1)+G10*3*1.065</f>
        <v>0</v>
      </c>
      <c r="I10" s="113">
        <f>IF(H10=0,0,ROUND(H10/$F10*100,2))</f>
        <v>0</v>
      </c>
      <c r="J10" s="113">
        <v>16.17</v>
      </c>
      <c r="K10" s="113">
        <f>ROUND(J10*9,1)+J10*3*1.065</f>
        <v>197.16315</v>
      </c>
      <c r="L10" s="113">
        <f>IF(K10=0,0,ROUND(K10/$F10*100,2))</f>
        <v>45.03</v>
      </c>
      <c r="M10" s="113">
        <f>+P10+S10</f>
        <v>16.04</v>
      </c>
      <c r="N10" s="113">
        <f>ROUND(M10*9,1)+M10*3*1.065</f>
        <v>195.64780000000002</v>
      </c>
      <c r="O10" s="113">
        <f>IF(N10=0,0,ROUND(N10/SUM($F10,$H10,$K10)*100,2))</f>
        <v>30.81</v>
      </c>
      <c r="P10" s="113">
        <v>10.42</v>
      </c>
      <c r="Q10" s="113">
        <f>ROUND(P10*9,1)+P10*3*1.065</f>
        <v>127.0919</v>
      </c>
      <c r="R10" s="113">
        <f>IF(Q10=0,0,ROUND(Q10/SUM($F10,$H10,$K10)*100,2))</f>
        <v>20.02</v>
      </c>
      <c r="S10" s="113">
        <v>5.62</v>
      </c>
      <c r="T10" s="113">
        <f>ROUND(S10*9,1)+S10*3*1.065</f>
        <v>68.55590000000001</v>
      </c>
      <c r="U10" s="113">
        <f>IF(T10=0,0,ROUND(T10/SUM($F10,$H10,$K10)*100,2))</f>
        <v>10.8</v>
      </c>
      <c r="V10" s="113">
        <f>SUM(F10,H10,K10,N10)</f>
        <v>830.6114500000001</v>
      </c>
      <c r="W10" s="114">
        <f>V10*1.9</f>
        <v>1578.161755</v>
      </c>
      <c r="X10" s="115">
        <v>1.302</v>
      </c>
      <c r="Y10" s="110">
        <f t="shared" si="1"/>
        <v>2054.8</v>
      </c>
    </row>
    <row r="11" spans="1:25" s="4" customFormat="1" ht="22.5" customHeight="1">
      <c r="A11" s="46">
        <f>A7+1</f>
        <v>2</v>
      </c>
      <c r="B11" s="47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>
        <f t="shared" si="1"/>
        <v>0</v>
      </c>
    </row>
    <row r="12" spans="1:25" s="39" customFormat="1" ht="50.25" customHeight="1">
      <c r="A12" s="37"/>
      <c r="B12" s="38" t="s">
        <v>77</v>
      </c>
      <c r="C12" s="38"/>
      <c r="D12" s="24"/>
      <c r="E12" s="24"/>
      <c r="F12" s="24">
        <f aca="true" t="shared" si="3" ref="F12:F18">ROUND(E12*12,1)</f>
        <v>0</v>
      </c>
      <c r="G12" s="24"/>
      <c r="H12" s="24">
        <f aca="true" t="shared" si="4" ref="H12:H18">ROUND(G12*12,1)</f>
        <v>0</v>
      </c>
      <c r="I12" s="24">
        <f>IF(H12=0,0,ROUND(H12/$F12*100,2))</f>
        <v>0</v>
      </c>
      <c r="J12" s="24"/>
      <c r="K12" s="24">
        <f aca="true" t="shared" si="5" ref="K12:K18">ROUND(J12*12,1)</f>
        <v>0</v>
      </c>
      <c r="L12" s="24">
        <f>IF(K12=0,0,ROUND(K12/$F12*100,2))</f>
        <v>0</v>
      </c>
      <c r="M12" s="24"/>
      <c r="N12" s="24">
        <f aca="true" t="shared" si="6" ref="N12:N18">ROUND(M12*12,1)</f>
        <v>0</v>
      </c>
      <c r="O12" s="24">
        <f>IF(N12=0,0,ROUND(N12/SUM($F12,$H12,$K12)*100,2))</f>
        <v>0</v>
      </c>
      <c r="P12" s="24">
        <f aca="true" t="shared" si="7" ref="P12:U12">P13+P14</f>
        <v>0</v>
      </c>
      <c r="Q12" s="24">
        <f t="shared" si="7"/>
        <v>0</v>
      </c>
      <c r="R12" s="24">
        <f t="shared" si="7"/>
        <v>0</v>
      </c>
      <c r="S12" s="24">
        <f t="shared" si="7"/>
        <v>0</v>
      </c>
      <c r="T12" s="24">
        <f t="shared" si="7"/>
        <v>0</v>
      </c>
      <c r="U12" s="24">
        <f t="shared" si="7"/>
        <v>0</v>
      </c>
      <c r="V12" s="24">
        <f>SUM(F12,H12,K12,N12)</f>
        <v>0</v>
      </c>
      <c r="W12" s="49">
        <f aca="true" t="shared" si="8" ref="W12:W18">V12*1.7</f>
        <v>0</v>
      </c>
      <c r="X12" s="24"/>
      <c r="Y12" s="48">
        <f t="shared" si="1"/>
        <v>0</v>
      </c>
    </row>
    <row r="13" spans="1:25" s="39" customFormat="1" ht="27" customHeight="1">
      <c r="A13" s="37"/>
      <c r="B13" s="38" t="s">
        <v>78</v>
      </c>
      <c r="C13" s="24"/>
      <c r="D13" s="24"/>
      <c r="E13" s="24"/>
      <c r="F13" s="24">
        <f t="shared" si="3"/>
        <v>0</v>
      </c>
      <c r="G13" s="24"/>
      <c r="H13" s="24">
        <f t="shared" si="4"/>
        <v>0</v>
      </c>
      <c r="I13" s="24">
        <f>IF(H13=0,0,ROUND(H13/$F13*100,2))</f>
        <v>0</v>
      </c>
      <c r="J13" s="24"/>
      <c r="K13" s="24">
        <f t="shared" si="5"/>
        <v>0</v>
      </c>
      <c r="L13" s="24">
        <f>IF(K13=0,0,ROUND(K13/$F13*100,2))</f>
        <v>0</v>
      </c>
      <c r="M13" s="24"/>
      <c r="N13" s="24">
        <f t="shared" si="6"/>
        <v>0</v>
      </c>
      <c r="O13" s="24">
        <f>IF(N13=0,0,ROUND(N13/SUM($F13,$H13,$K13)*100,2))</f>
        <v>0</v>
      </c>
      <c r="P13" s="24"/>
      <c r="Q13" s="24">
        <f>ROUND(P13*12,1)</f>
        <v>0</v>
      </c>
      <c r="R13" s="24">
        <f>IF(Q13=0,0,ROUND(Q13/SUM($F13,$H13,$K13)*100,2))</f>
        <v>0</v>
      </c>
      <c r="S13" s="24"/>
      <c r="T13" s="24">
        <f>ROUND(S13*12,1)</f>
        <v>0</v>
      </c>
      <c r="U13" s="24">
        <f>IF(T13=0,0,ROUND(T13/SUM($F13,$H13,$K13)*100,2))</f>
        <v>0</v>
      </c>
      <c r="V13" s="24">
        <f>SUM(F13,H13,K13,N13)</f>
        <v>0</v>
      </c>
      <c r="W13" s="49">
        <f t="shared" si="8"/>
        <v>0</v>
      </c>
      <c r="X13" s="24"/>
      <c r="Y13" s="48">
        <f t="shared" si="1"/>
        <v>0</v>
      </c>
    </row>
    <row r="14" spans="1:25" s="39" customFormat="1" ht="19.5" customHeight="1">
      <c r="A14" s="37"/>
      <c r="B14" s="38" t="s">
        <v>79</v>
      </c>
      <c r="C14" s="24"/>
      <c r="D14" s="24"/>
      <c r="E14" s="24"/>
      <c r="F14" s="24">
        <f t="shared" si="3"/>
        <v>0</v>
      </c>
      <c r="G14" s="24"/>
      <c r="H14" s="24">
        <f t="shared" si="4"/>
        <v>0</v>
      </c>
      <c r="I14" s="24">
        <f>IF(H14=0,0,ROUND(H14/$F14*100,2))</f>
        <v>0</v>
      </c>
      <c r="J14" s="24"/>
      <c r="K14" s="24">
        <f t="shared" si="5"/>
        <v>0</v>
      </c>
      <c r="L14" s="24">
        <f>IF(K14=0,0,ROUND(K14/$F14*100,2))</f>
        <v>0</v>
      </c>
      <c r="M14" s="24"/>
      <c r="N14" s="24">
        <f t="shared" si="6"/>
        <v>0</v>
      </c>
      <c r="O14" s="24">
        <f>IF(N14=0,0,ROUND(N14/SUM($F14,$H14,$K14)*100,2))</f>
        <v>0</v>
      </c>
      <c r="P14" s="24"/>
      <c r="Q14" s="24">
        <f>ROUND(P14*12,1)</f>
        <v>0</v>
      </c>
      <c r="R14" s="24">
        <f>IF(Q14=0,0,ROUND(Q14/SUM($F14,$H14,$K14)*100,2))</f>
        <v>0</v>
      </c>
      <c r="S14" s="24"/>
      <c r="T14" s="24">
        <f>ROUND(S14*12,1)</f>
        <v>0</v>
      </c>
      <c r="U14" s="24">
        <f>IF(T14=0,0,ROUND(T14/SUM($F14,$H14,$K14)*100,2))</f>
        <v>0</v>
      </c>
      <c r="V14" s="24">
        <f>SUM(F14,H14,K14,N14)</f>
        <v>0</v>
      </c>
      <c r="W14" s="49">
        <f t="shared" si="8"/>
        <v>0</v>
      </c>
      <c r="X14" s="24"/>
      <c r="Y14" s="48">
        <f t="shared" si="1"/>
        <v>0</v>
      </c>
    </row>
    <row r="15" spans="1:25" s="4" customFormat="1" ht="28.5" customHeight="1" hidden="1">
      <c r="A15" s="46">
        <f>A11+1</f>
        <v>3</v>
      </c>
      <c r="B15" s="47" t="s">
        <v>80</v>
      </c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>
        <v>1.262</v>
      </c>
      <c r="Y15" s="48">
        <f t="shared" si="1"/>
        <v>0</v>
      </c>
    </row>
    <row r="16" spans="1:25" s="39" customFormat="1" ht="50.25" customHeight="1" hidden="1">
      <c r="A16" s="37"/>
      <c r="B16" s="38" t="s">
        <v>77</v>
      </c>
      <c r="C16" s="38"/>
      <c r="D16" s="24">
        <v>15.5</v>
      </c>
      <c r="E16" s="24">
        <v>43.07</v>
      </c>
      <c r="F16" s="24">
        <f t="shared" si="3"/>
        <v>516.8</v>
      </c>
      <c r="G16" s="24">
        <f>1.275+2.3376</f>
        <v>3.6126</v>
      </c>
      <c r="H16" s="24">
        <f t="shared" si="4"/>
        <v>43.4</v>
      </c>
      <c r="I16" s="24">
        <f>IF(H16=0,0,ROUND(H16/$F16*100,2))</f>
        <v>8.4</v>
      </c>
      <c r="J16" s="24"/>
      <c r="K16" s="24">
        <f t="shared" si="5"/>
        <v>0</v>
      </c>
      <c r="L16" s="24">
        <f>IF(K16=0,0,ROUND(K16/$F16*100,2))</f>
        <v>0</v>
      </c>
      <c r="M16" s="24">
        <v>27.0772</v>
      </c>
      <c r="N16" s="24">
        <f t="shared" si="6"/>
        <v>324.9</v>
      </c>
      <c r="O16" s="24">
        <f>IF(N16=0,0,ROUND(N16/SUM($F16,$H16,$K16)*100,2))</f>
        <v>58</v>
      </c>
      <c r="P16" s="24" t="e">
        <f aca="true" t="shared" si="9" ref="P16:U16">P17+P18</f>
        <v>#REF!</v>
      </c>
      <c r="Q16" s="24" t="e">
        <f t="shared" si="9"/>
        <v>#REF!</v>
      </c>
      <c r="R16" s="24" t="e">
        <f t="shared" si="9"/>
        <v>#REF!</v>
      </c>
      <c r="S16" s="24" t="e">
        <f t="shared" si="9"/>
        <v>#REF!</v>
      </c>
      <c r="T16" s="24" t="e">
        <f t="shared" si="9"/>
        <v>#REF!</v>
      </c>
      <c r="U16" s="24" t="e">
        <f t="shared" si="9"/>
        <v>#REF!</v>
      </c>
      <c r="V16" s="24">
        <f>SUM(F16,H16,K16,N16)</f>
        <v>885.0999999999999</v>
      </c>
      <c r="W16" s="49">
        <f t="shared" si="8"/>
        <v>1504.6699999999998</v>
      </c>
      <c r="X16" s="24">
        <v>1.262</v>
      </c>
      <c r="Y16" s="48">
        <f t="shared" si="1"/>
        <v>1898.9</v>
      </c>
    </row>
    <row r="17" spans="1:25" s="39" customFormat="1" ht="27" customHeight="1" hidden="1">
      <c r="A17" s="37"/>
      <c r="B17" s="38" t="s">
        <v>78</v>
      </c>
      <c r="C17" s="38"/>
      <c r="D17" s="24"/>
      <c r="E17" s="24"/>
      <c r="F17" s="24">
        <f t="shared" si="3"/>
        <v>0</v>
      </c>
      <c r="G17" s="24"/>
      <c r="H17" s="24">
        <f t="shared" si="4"/>
        <v>0</v>
      </c>
      <c r="I17" s="24">
        <f>IF(H17=0,0,ROUND(H17/$F17*100,2))</f>
        <v>0</v>
      </c>
      <c r="J17" s="24"/>
      <c r="K17" s="24">
        <f t="shared" si="5"/>
        <v>0</v>
      </c>
      <c r="L17" s="24">
        <f>IF(K17=0,0,ROUND(K17/$F17*100,2))</f>
        <v>0</v>
      </c>
      <c r="M17" s="24"/>
      <c r="N17" s="24">
        <f t="shared" si="6"/>
        <v>0</v>
      </c>
      <c r="O17" s="24">
        <f>IF(N17=0,0,ROUND(N17/SUM($F17,$H17,$K17)*100,2))</f>
        <v>0</v>
      </c>
      <c r="P17" s="24" t="e">
        <f>#REF!</f>
        <v>#REF!</v>
      </c>
      <c r="Q17" s="24" t="e">
        <f>ROUND(P17*12,1)</f>
        <v>#REF!</v>
      </c>
      <c r="R17" s="24" t="e">
        <f>IF(Q17=0,0,ROUND(Q17/SUM($F17,$H17,$K17)*100,2))</f>
        <v>#REF!</v>
      </c>
      <c r="S17" s="24" t="e">
        <f>#REF!</f>
        <v>#REF!</v>
      </c>
      <c r="T17" s="24" t="e">
        <f>ROUND(S17*12,1)</f>
        <v>#REF!</v>
      </c>
      <c r="U17" s="24" t="e">
        <f>IF(T17=0,0,ROUND(T17/SUM($F17,$H17,$K17)*100,2))</f>
        <v>#REF!</v>
      </c>
      <c r="V17" s="24">
        <f>SUM(F17,H17,K17,N17)</f>
        <v>0</v>
      </c>
      <c r="W17" s="49">
        <f t="shared" si="8"/>
        <v>0</v>
      </c>
      <c r="X17" s="24">
        <v>1.262</v>
      </c>
      <c r="Y17" s="48">
        <f t="shared" si="1"/>
        <v>0</v>
      </c>
    </row>
    <row r="18" spans="1:25" s="39" customFormat="1" ht="19.5" customHeight="1" hidden="1">
      <c r="A18" s="37"/>
      <c r="B18" s="38" t="s">
        <v>79</v>
      </c>
      <c r="C18" s="38"/>
      <c r="D18" s="24"/>
      <c r="E18" s="24"/>
      <c r="F18" s="24">
        <f t="shared" si="3"/>
        <v>0</v>
      </c>
      <c r="G18" s="24"/>
      <c r="H18" s="24">
        <f t="shared" si="4"/>
        <v>0</v>
      </c>
      <c r="I18" s="24">
        <f>IF(H18=0,0,ROUND(H18/$F18*100,2))</f>
        <v>0</v>
      </c>
      <c r="J18" s="24"/>
      <c r="K18" s="24">
        <f t="shared" si="5"/>
        <v>0</v>
      </c>
      <c r="L18" s="24">
        <f>IF(K18=0,0,ROUND(K18/$F18*100,2))</f>
        <v>0</v>
      </c>
      <c r="M18" s="24"/>
      <c r="N18" s="24">
        <f t="shared" si="6"/>
        <v>0</v>
      </c>
      <c r="O18" s="24">
        <f>IF(N18=0,0,ROUND(N18/SUM($F18,$H18,$K18)*100,2))</f>
        <v>0</v>
      </c>
      <c r="P18" s="24" t="e">
        <f>#REF!</f>
        <v>#REF!</v>
      </c>
      <c r="Q18" s="24" t="e">
        <f>ROUND(P18*12,1)</f>
        <v>#REF!</v>
      </c>
      <c r="R18" s="24" t="e">
        <f>IF(Q18=0,0,ROUND(Q18/SUM($F18,$H18,$K18)*100,2))</f>
        <v>#REF!</v>
      </c>
      <c r="S18" s="24" t="e">
        <f>#REF!</f>
        <v>#REF!</v>
      </c>
      <c r="T18" s="24" t="e">
        <f>ROUND(S18*12,1)</f>
        <v>#REF!</v>
      </c>
      <c r="U18" s="24" t="e">
        <f>IF(T18=0,0,ROUND(T18/SUM($F18,$H18,$K18)*100,2))</f>
        <v>#REF!</v>
      </c>
      <c r="V18" s="24">
        <f>SUM(F18,H18,K18,N18)</f>
        <v>0</v>
      </c>
      <c r="W18" s="49">
        <f t="shared" si="8"/>
        <v>0</v>
      </c>
      <c r="X18" s="24">
        <v>1.262</v>
      </c>
      <c r="Y18" s="48">
        <f t="shared" si="1"/>
        <v>0</v>
      </c>
    </row>
    <row r="19" spans="1:25" s="4" customFormat="1" ht="36" customHeight="1" hidden="1">
      <c r="A19" s="46">
        <f>A15+1</f>
        <v>4</v>
      </c>
      <c r="B19" s="47" t="s">
        <v>81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>
        <v>1.262</v>
      </c>
      <c r="Y19" s="48">
        <f t="shared" si="1"/>
        <v>0</v>
      </c>
    </row>
    <row r="20" spans="1:25" s="39" customFormat="1" ht="50.25" customHeight="1" hidden="1">
      <c r="A20" s="37"/>
      <c r="B20" s="38" t="s">
        <v>77</v>
      </c>
      <c r="C20" s="38"/>
      <c r="D20" s="24">
        <v>52</v>
      </c>
      <c r="E20" s="24">
        <v>131.099</v>
      </c>
      <c r="F20" s="24">
        <f aca="true" t="shared" si="10" ref="F20:F46">ROUND(E20*12,1)</f>
        <v>1573.2</v>
      </c>
      <c r="G20" s="24">
        <f>G21+G22</f>
        <v>0</v>
      </c>
      <c r="H20" s="24">
        <f aca="true" t="shared" si="11" ref="H20:H46">ROUND(G20*12,1)</f>
        <v>0</v>
      </c>
      <c r="I20" s="24">
        <f>IF(H20=0,0,ROUND(H20/$F20*100,2))</f>
        <v>0</v>
      </c>
      <c r="J20" s="24">
        <v>37.892</v>
      </c>
      <c r="K20" s="24">
        <f aca="true" t="shared" si="12" ref="K20:K46">ROUND(J20*12,1)</f>
        <v>454.7</v>
      </c>
      <c r="L20" s="24">
        <f>IF(K20=0,0,ROUND(K20/$F20*100,2))</f>
        <v>28.9</v>
      </c>
      <c r="M20" s="24">
        <v>67.733</v>
      </c>
      <c r="N20" s="24">
        <f aca="true" t="shared" si="13" ref="N20:N46">ROUND(M20*12,1)</f>
        <v>812.8</v>
      </c>
      <c r="O20" s="24">
        <f>IF(N20=0,0,ROUND(N20/SUM($F20,$H20,$K20)*100,2))</f>
        <v>40.08</v>
      </c>
      <c r="P20" s="24" t="e">
        <f aca="true" t="shared" si="14" ref="P20:U20">P21+P22</f>
        <v>#REF!</v>
      </c>
      <c r="Q20" s="24" t="e">
        <f t="shared" si="14"/>
        <v>#REF!</v>
      </c>
      <c r="R20" s="24" t="e">
        <f t="shared" si="14"/>
        <v>#REF!</v>
      </c>
      <c r="S20" s="24" t="e">
        <f t="shared" si="14"/>
        <v>#REF!</v>
      </c>
      <c r="T20" s="24" t="e">
        <f t="shared" si="14"/>
        <v>#REF!</v>
      </c>
      <c r="U20" s="24" t="e">
        <f t="shared" si="14"/>
        <v>#REF!</v>
      </c>
      <c r="V20" s="24">
        <f>SUM(F20,H20,K20,N20)</f>
        <v>2840.7</v>
      </c>
      <c r="W20" s="49">
        <f aca="true" t="shared" si="15" ref="W20:W46">V20*1.7</f>
        <v>4829.19</v>
      </c>
      <c r="X20" s="24">
        <v>1.262</v>
      </c>
      <c r="Y20" s="48">
        <f t="shared" si="1"/>
        <v>6094.4</v>
      </c>
    </row>
    <row r="21" spans="1:25" s="39" customFormat="1" ht="27" customHeight="1" hidden="1">
      <c r="A21" s="37"/>
      <c r="B21" s="38" t="s">
        <v>78</v>
      </c>
      <c r="C21" s="38"/>
      <c r="D21" s="24"/>
      <c r="E21" s="24"/>
      <c r="F21" s="24">
        <f t="shared" si="10"/>
        <v>0</v>
      </c>
      <c r="G21" s="24"/>
      <c r="H21" s="24">
        <f t="shared" si="11"/>
        <v>0</v>
      </c>
      <c r="I21" s="24">
        <f>IF(H21=0,0,ROUND(H21/$F21*100,2))</f>
        <v>0</v>
      </c>
      <c r="J21" s="24"/>
      <c r="K21" s="24">
        <f t="shared" si="12"/>
        <v>0</v>
      </c>
      <c r="L21" s="24">
        <f>IF(K21=0,0,ROUND(K21/$F21*100,2))</f>
        <v>0</v>
      </c>
      <c r="M21" s="24"/>
      <c r="N21" s="24">
        <f t="shared" si="13"/>
        <v>0</v>
      </c>
      <c r="O21" s="24">
        <f>IF(N21=0,0,ROUND(N21/SUM($F21,$H21,$K21)*100,2))</f>
        <v>0</v>
      </c>
      <c r="P21" s="24" t="e">
        <f>#REF!</f>
        <v>#REF!</v>
      </c>
      <c r="Q21" s="24" t="e">
        <f>ROUND(P21*12,1)</f>
        <v>#REF!</v>
      </c>
      <c r="R21" s="24" t="e">
        <f>IF(Q21=0,0,ROUND(Q21/SUM($F21,$H21,$K21)*100,2))</f>
        <v>#REF!</v>
      </c>
      <c r="S21" s="24" t="e">
        <f>#REF!</f>
        <v>#REF!</v>
      </c>
      <c r="T21" s="24" t="e">
        <f>ROUND(S21*12,1)</f>
        <v>#REF!</v>
      </c>
      <c r="U21" s="24" t="e">
        <f>IF(T21=0,0,ROUND(T21/SUM($F21,$H21,$K21)*100,2))</f>
        <v>#REF!</v>
      </c>
      <c r="V21" s="24">
        <f>SUM(F21,H21,K21,N21)</f>
        <v>0</v>
      </c>
      <c r="W21" s="49">
        <f t="shared" si="15"/>
        <v>0</v>
      </c>
      <c r="X21" s="24">
        <v>1.262</v>
      </c>
      <c r="Y21" s="48">
        <f t="shared" si="1"/>
        <v>0</v>
      </c>
    </row>
    <row r="22" spans="1:25" s="39" customFormat="1" ht="19.5" customHeight="1" hidden="1">
      <c r="A22" s="37"/>
      <c r="B22" s="38" t="s">
        <v>79</v>
      </c>
      <c r="C22" s="38"/>
      <c r="D22" s="24"/>
      <c r="E22" s="24"/>
      <c r="F22" s="24">
        <f t="shared" si="10"/>
        <v>0</v>
      </c>
      <c r="G22" s="24"/>
      <c r="H22" s="24">
        <f t="shared" si="11"/>
        <v>0</v>
      </c>
      <c r="I22" s="24">
        <f>IF(H22=0,0,ROUND(H22/$F22*100,2))</f>
        <v>0</v>
      </c>
      <c r="J22" s="24"/>
      <c r="K22" s="24">
        <f t="shared" si="12"/>
        <v>0</v>
      </c>
      <c r="L22" s="24">
        <f>IF(K22=0,0,ROUND(K22/$F22*100,2))</f>
        <v>0</v>
      </c>
      <c r="M22" s="24"/>
      <c r="N22" s="24">
        <f t="shared" si="13"/>
        <v>0</v>
      </c>
      <c r="O22" s="24">
        <f>IF(N22=0,0,ROUND(N22/SUM($F22,$H22,$K22)*100,2))</f>
        <v>0</v>
      </c>
      <c r="P22" s="24" t="e">
        <f>#REF!</f>
        <v>#REF!</v>
      </c>
      <c r="Q22" s="24" t="e">
        <f>ROUND(P22*12,1)</f>
        <v>#REF!</v>
      </c>
      <c r="R22" s="24" t="e">
        <f>IF(Q22=0,0,ROUND(Q22/SUM($F22,$H22,$K22)*100,2))</f>
        <v>#REF!</v>
      </c>
      <c r="S22" s="24" t="e">
        <f>#REF!</f>
        <v>#REF!</v>
      </c>
      <c r="T22" s="24" t="e">
        <f>ROUND(S22*12,1)</f>
        <v>#REF!</v>
      </c>
      <c r="U22" s="24" t="e">
        <f>IF(T22=0,0,ROUND(T22/SUM($F22,$H22,$K22)*100,2))</f>
        <v>#REF!</v>
      </c>
      <c r="V22" s="24">
        <f>SUM(F22,H22,K22,N22)</f>
        <v>0</v>
      </c>
      <c r="W22" s="49">
        <f t="shared" si="15"/>
        <v>0</v>
      </c>
      <c r="X22" s="24">
        <v>1.262</v>
      </c>
      <c r="Y22" s="48">
        <f t="shared" si="1"/>
        <v>0</v>
      </c>
    </row>
    <row r="23" spans="1:25" s="4" customFormat="1" ht="28.5" customHeight="1" hidden="1">
      <c r="A23" s="46">
        <f>A19+1</f>
        <v>5</v>
      </c>
      <c r="B23" s="47" t="s">
        <v>82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>
        <v>1.262</v>
      </c>
      <c r="Y23" s="48">
        <f t="shared" si="1"/>
        <v>0</v>
      </c>
    </row>
    <row r="24" spans="1:25" s="39" customFormat="1" ht="50.25" customHeight="1" hidden="1">
      <c r="A24" s="37"/>
      <c r="B24" s="38" t="s">
        <v>77</v>
      </c>
      <c r="C24" s="38"/>
      <c r="D24" s="24">
        <v>15.5</v>
      </c>
      <c r="E24" s="24">
        <v>43.07</v>
      </c>
      <c r="F24" s="24">
        <f t="shared" si="10"/>
        <v>516.8</v>
      </c>
      <c r="G24" s="24">
        <f>1.275+2.3376</f>
        <v>3.6126</v>
      </c>
      <c r="H24" s="24">
        <f t="shared" si="11"/>
        <v>43.4</v>
      </c>
      <c r="I24" s="24">
        <f>IF(H24=0,0,ROUND(H24/$F24*100,2))</f>
        <v>8.4</v>
      </c>
      <c r="J24" s="24"/>
      <c r="K24" s="24">
        <f t="shared" si="12"/>
        <v>0</v>
      </c>
      <c r="L24" s="24">
        <f>IF(K24=0,0,ROUND(K24/$F24*100,2))</f>
        <v>0</v>
      </c>
      <c r="M24" s="24">
        <v>27.0772</v>
      </c>
      <c r="N24" s="24">
        <f t="shared" si="13"/>
        <v>324.9</v>
      </c>
      <c r="O24" s="24">
        <f>IF(N24=0,0,ROUND(N24/SUM($F24,$H24,$K24)*100,2))</f>
        <v>58</v>
      </c>
      <c r="P24" s="24" t="e">
        <f aca="true" t="shared" si="16" ref="P24:U24">P25+P26</f>
        <v>#REF!</v>
      </c>
      <c r="Q24" s="24" t="e">
        <f t="shared" si="16"/>
        <v>#REF!</v>
      </c>
      <c r="R24" s="24" t="e">
        <f t="shared" si="16"/>
        <v>#REF!</v>
      </c>
      <c r="S24" s="24" t="e">
        <f t="shared" si="16"/>
        <v>#REF!</v>
      </c>
      <c r="T24" s="24" t="e">
        <f t="shared" si="16"/>
        <v>#REF!</v>
      </c>
      <c r="U24" s="24" t="e">
        <f t="shared" si="16"/>
        <v>#REF!</v>
      </c>
      <c r="V24" s="24">
        <f>SUM(F24,H24,K24,N24)</f>
        <v>885.0999999999999</v>
      </c>
      <c r="W24" s="49">
        <f t="shared" si="15"/>
        <v>1504.6699999999998</v>
      </c>
      <c r="X24" s="24">
        <v>1.262</v>
      </c>
      <c r="Y24" s="48">
        <f t="shared" si="1"/>
        <v>1898.9</v>
      </c>
    </row>
    <row r="25" spans="1:25" s="39" customFormat="1" ht="27" customHeight="1" hidden="1">
      <c r="A25" s="37"/>
      <c r="B25" s="38" t="s">
        <v>78</v>
      </c>
      <c r="C25" s="24">
        <v>70</v>
      </c>
      <c r="D25" s="24"/>
      <c r="E25" s="24"/>
      <c r="F25" s="24">
        <f t="shared" si="10"/>
        <v>0</v>
      </c>
      <c r="G25" s="24"/>
      <c r="H25" s="24">
        <f t="shared" si="11"/>
        <v>0</v>
      </c>
      <c r="I25" s="24">
        <f>IF(H25=0,0,ROUND(H25/$F25*100,2))</f>
        <v>0</v>
      </c>
      <c r="J25" s="24"/>
      <c r="K25" s="24">
        <f t="shared" si="12"/>
        <v>0</v>
      </c>
      <c r="L25" s="24">
        <f>IF(K25=0,0,ROUND(K25/$F25*100,2))</f>
        <v>0</v>
      </c>
      <c r="M25" s="24"/>
      <c r="N25" s="24">
        <f t="shared" si="13"/>
        <v>0</v>
      </c>
      <c r="O25" s="24">
        <f>IF(N25=0,0,ROUND(N25/SUM($F25,$H25,$K25)*100,2))</f>
        <v>0</v>
      </c>
      <c r="P25" s="24" t="e">
        <f>#REF!</f>
        <v>#REF!</v>
      </c>
      <c r="Q25" s="24" t="e">
        <f>ROUND(P25*12,1)</f>
        <v>#REF!</v>
      </c>
      <c r="R25" s="24" t="e">
        <f>IF(Q25=0,0,ROUND(Q25/SUM($F25,$H25,$K25)*100,2))</f>
        <v>#REF!</v>
      </c>
      <c r="S25" s="24" t="e">
        <f>#REF!</f>
        <v>#REF!</v>
      </c>
      <c r="T25" s="24" t="e">
        <f>ROUND(S25*12,1)</f>
        <v>#REF!</v>
      </c>
      <c r="U25" s="24" t="e">
        <f>IF(T25=0,0,ROUND(T25/SUM($F25,$H25,$K25)*100,2))</f>
        <v>#REF!</v>
      </c>
      <c r="V25" s="24">
        <f>SUM(F25,H25,K25,N25)</f>
        <v>0</v>
      </c>
      <c r="W25" s="49">
        <f t="shared" si="15"/>
        <v>0</v>
      </c>
      <c r="X25" s="24">
        <v>1.262</v>
      </c>
      <c r="Y25" s="48">
        <f t="shared" si="1"/>
        <v>0</v>
      </c>
    </row>
    <row r="26" spans="1:25" s="39" customFormat="1" ht="19.5" customHeight="1" hidden="1">
      <c r="A26" s="37"/>
      <c r="B26" s="38" t="s">
        <v>79</v>
      </c>
      <c r="C26" s="24">
        <v>20</v>
      </c>
      <c r="D26" s="24"/>
      <c r="E26" s="24"/>
      <c r="F26" s="24">
        <f t="shared" si="10"/>
        <v>0</v>
      </c>
      <c r="G26" s="24"/>
      <c r="H26" s="24">
        <f t="shared" si="11"/>
        <v>0</v>
      </c>
      <c r="I26" s="24">
        <f>IF(H26=0,0,ROUND(H26/$F26*100,2))</f>
        <v>0</v>
      </c>
      <c r="J26" s="24"/>
      <c r="K26" s="24">
        <f t="shared" si="12"/>
        <v>0</v>
      </c>
      <c r="L26" s="24">
        <f>IF(K26=0,0,ROUND(K26/$F26*100,2))</f>
        <v>0</v>
      </c>
      <c r="M26" s="24"/>
      <c r="N26" s="24">
        <f t="shared" si="13"/>
        <v>0</v>
      </c>
      <c r="O26" s="24">
        <f>IF(N26=0,0,ROUND(N26/SUM($F26,$H26,$K26)*100,2))</f>
        <v>0</v>
      </c>
      <c r="P26" s="24" t="e">
        <f>#REF!</f>
        <v>#REF!</v>
      </c>
      <c r="Q26" s="24" t="e">
        <f>ROUND(P26*12,1)</f>
        <v>#REF!</v>
      </c>
      <c r="R26" s="24" t="e">
        <f>IF(Q26=0,0,ROUND(Q26/SUM($F26,$H26,$K26)*100,2))</f>
        <v>#REF!</v>
      </c>
      <c r="S26" s="24" t="e">
        <f>#REF!</f>
        <v>#REF!</v>
      </c>
      <c r="T26" s="24" t="e">
        <f>ROUND(S26*12,1)</f>
        <v>#REF!</v>
      </c>
      <c r="U26" s="24" t="e">
        <f>IF(T26=0,0,ROUND(T26/SUM($F26,$H26,$K26)*100,2))</f>
        <v>#REF!</v>
      </c>
      <c r="V26" s="24">
        <f>SUM(F26,H26,K26,N26)</f>
        <v>0</v>
      </c>
      <c r="W26" s="49">
        <f t="shared" si="15"/>
        <v>0</v>
      </c>
      <c r="X26" s="24">
        <v>1.262</v>
      </c>
      <c r="Y26" s="48">
        <f t="shared" si="1"/>
        <v>0</v>
      </c>
    </row>
    <row r="27" spans="1:25" s="4" customFormat="1" ht="28.5" customHeight="1" hidden="1">
      <c r="A27" s="46">
        <f>A23+1</f>
        <v>6</v>
      </c>
      <c r="B27" s="47" t="s">
        <v>83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>
        <v>1.262</v>
      </c>
      <c r="Y27" s="48">
        <f t="shared" si="1"/>
        <v>0</v>
      </c>
    </row>
    <row r="28" spans="1:25" s="39" customFormat="1" ht="50.25" customHeight="1" hidden="1">
      <c r="A28" s="37"/>
      <c r="B28" s="38" t="s">
        <v>77</v>
      </c>
      <c r="C28" s="38"/>
      <c r="D28" s="24">
        <v>37</v>
      </c>
      <c r="E28" s="24">
        <v>130</v>
      </c>
      <c r="F28" s="24">
        <f t="shared" si="10"/>
        <v>1560</v>
      </c>
      <c r="G28" s="24">
        <v>0.7894</v>
      </c>
      <c r="H28" s="24">
        <f t="shared" si="11"/>
        <v>9.5</v>
      </c>
      <c r="I28" s="24">
        <f>IF(H28=0,0,ROUND(H28/$F28*100,2))</f>
        <v>0.61</v>
      </c>
      <c r="J28" s="24">
        <v>1.616</v>
      </c>
      <c r="K28" s="24">
        <f t="shared" si="12"/>
        <v>19.4</v>
      </c>
      <c r="L28" s="24">
        <f>IF(K28=0,0,ROUND(K28/$F28*100,2))</f>
        <v>1.24</v>
      </c>
      <c r="M28" s="24">
        <v>101.26097</v>
      </c>
      <c r="N28" s="24">
        <f t="shared" si="13"/>
        <v>1215.1</v>
      </c>
      <c r="O28" s="24">
        <f>IF(N28=0,0,ROUND(N28/SUM($F28,$H28,$K28)*100,2))</f>
        <v>76.47</v>
      </c>
      <c r="P28" s="24" t="e">
        <f aca="true" t="shared" si="17" ref="P28:U28">P29+P30</f>
        <v>#REF!</v>
      </c>
      <c r="Q28" s="24" t="e">
        <f t="shared" si="17"/>
        <v>#REF!</v>
      </c>
      <c r="R28" s="24" t="e">
        <f t="shared" si="17"/>
        <v>#REF!</v>
      </c>
      <c r="S28" s="24" t="e">
        <f t="shared" si="17"/>
        <v>#REF!</v>
      </c>
      <c r="T28" s="24" t="e">
        <f t="shared" si="17"/>
        <v>#REF!</v>
      </c>
      <c r="U28" s="24" t="e">
        <f t="shared" si="17"/>
        <v>#REF!</v>
      </c>
      <c r="V28" s="24">
        <f>SUM(F28,H28,K28,N28)</f>
        <v>2804</v>
      </c>
      <c r="W28" s="49">
        <f t="shared" si="15"/>
        <v>4766.8</v>
      </c>
      <c r="X28" s="24">
        <v>1.262</v>
      </c>
      <c r="Y28" s="48">
        <f t="shared" si="1"/>
        <v>6015.7</v>
      </c>
    </row>
    <row r="29" spans="1:25" s="39" customFormat="1" ht="27" customHeight="1" hidden="1">
      <c r="A29" s="37"/>
      <c r="B29" s="38" t="s">
        <v>78</v>
      </c>
      <c r="C29" s="38"/>
      <c r="D29" s="24"/>
      <c r="E29" s="24"/>
      <c r="F29" s="24">
        <f t="shared" si="10"/>
        <v>0</v>
      </c>
      <c r="G29" s="24"/>
      <c r="H29" s="24">
        <f t="shared" si="11"/>
        <v>0</v>
      </c>
      <c r="I29" s="24">
        <f>IF(H29=0,0,ROUND(H29/$F29*100,2))</f>
        <v>0</v>
      </c>
      <c r="J29" s="24"/>
      <c r="K29" s="24">
        <f t="shared" si="12"/>
        <v>0</v>
      </c>
      <c r="L29" s="24">
        <f>IF(K29=0,0,ROUND(K29/$F29*100,2))</f>
        <v>0</v>
      </c>
      <c r="M29" s="24"/>
      <c r="N29" s="24">
        <f t="shared" si="13"/>
        <v>0</v>
      </c>
      <c r="O29" s="24">
        <f>IF(N29=0,0,ROUND(N29/SUM($F29,$H29,$K29)*100,2))</f>
        <v>0</v>
      </c>
      <c r="P29" s="24" t="e">
        <f>#REF!</f>
        <v>#REF!</v>
      </c>
      <c r="Q29" s="24" t="e">
        <f>ROUND(P29*12,1)</f>
        <v>#REF!</v>
      </c>
      <c r="R29" s="24" t="e">
        <f>IF(Q29=0,0,ROUND(Q29/SUM($F29,$H29,$K29)*100,2))</f>
        <v>#REF!</v>
      </c>
      <c r="S29" s="24" t="e">
        <f>#REF!</f>
        <v>#REF!</v>
      </c>
      <c r="T29" s="24" t="e">
        <f>ROUND(S29*12,1)</f>
        <v>#REF!</v>
      </c>
      <c r="U29" s="24" t="e">
        <f>IF(T29=0,0,ROUND(T29/SUM($F29,$H29,$K29)*100,2))</f>
        <v>#REF!</v>
      </c>
      <c r="V29" s="24">
        <f>SUM(F29,H29,K29,N29)</f>
        <v>0</v>
      </c>
      <c r="W29" s="49">
        <f t="shared" si="15"/>
        <v>0</v>
      </c>
      <c r="X29" s="24">
        <v>1.262</v>
      </c>
      <c r="Y29" s="48">
        <f t="shared" si="1"/>
        <v>0</v>
      </c>
    </row>
    <row r="30" spans="1:25" s="39" customFormat="1" ht="19.5" customHeight="1" hidden="1">
      <c r="A30" s="37"/>
      <c r="B30" s="38" t="s">
        <v>79</v>
      </c>
      <c r="C30" s="38"/>
      <c r="D30" s="24"/>
      <c r="E30" s="24"/>
      <c r="F30" s="24">
        <f t="shared" si="10"/>
        <v>0</v>
      </c>
      <c r="G30" s="24"/>
      <c r="H30" s="24">
        <f t="shared" si="11"/>
        <v>0</v>
      </c>
      <c r="I30" s="24">
        <f>IF(H30=0,0,ROUND(H30/$F30*100,2))</f>
        <v>0</v>
      </c>
      <c r="J30" s="24"/>
      <c r="K30" s="24">
        <f t="shared" si="12"/>
        <v>0</v>
      </c>
      <c r="L30" s="24">
        <f>IF(K30=0,0,ROUND(K30/$F30*100,2))</f>
        <v>0</v>
      </c>
      <c r="M30" s="24"/>
      <c r="N30" s="24">
        <f t="shared" si="13"/>
        <v>0</v>
      </c>
      <c r="O30" s="24">
        <f>IF(N30=0,0,ROUND(N30/SUM($F30,$H30,$K30)*100,2))</f>
        <v>0</v>
      </c>
      <c r="P30" s="24" t="e">
        <f>#REF!</f>
        <v>#REF!</v>
      </c>
      <c r="Q30" s="24" t="e">
        <f>ROUND(P30*12,1)</f>
        <v>#REF!</v>
      </c>
      <c r="R30" s="24" t="e">
        <f>IF(Q30=0,0,ROUND(Q30/SUM($F30,$H30,$K30)*100,2))</f>
        <v>#REF!</v>
      </c>
      <c r="S30" s="24" t="e">
        <f>#REF!</f>
        <v>#REF!</v>
      </c>
      <c r="T30" s="24" t="e">
        <f>ROUND(S30*12,1)</f>
        <v>#REF!</v>
      </c>
      <c r="U30" s="24" t="e">
        <f>IF(T30=0,0,ROUND(T30/SUM($F30,$H30,$K30)*100,2))</f>
        <v>#REF!</v>
      </c>
      <c r="V30" s="24">
        <f>SUM(F30,H30,K30,N30)</f>
        <v>0</v>
      </c>
      <c r="W30" s="49">
        <f t="shared" si="15"/>
        <v>0</v>
      </c>
      <c r="X30" s="24">
        <v>1.262</v>
      </c>
      <c r="Y30" s="48">
        <f t="shared" si="1"/>
        <v>0</v>
      </c>
    </row>
    <row r="31" spans="1:25" s="4" customFormat="1" ht="28.5" customHeight="1" hidden="1">
      <c r="A31" s="46">
        <f>A27+1</f>
        <v>7</v>
      </c>
      <c r="B31" s="47" t="s">
        <v>84</v>
      </c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>
        <v>1.262</v>
      </c>
      <c r="Y31" s="48">
        <f t="shared" si="1"/>
        <v>0</v>
      </c>
    </row>
    <row r="32" spans="1:25" s="39" customFormat="1" ht="50.25" customHeight="1" hidden="1">
      <c r="A32" s="37"/>
      <c r="B32" s="38" t="s">
        <v>77</v>
      </c>
      <c r="C32" s="38"/>
      <c r="D32" s="24">
        <v>15.5</v>
      </c>
      <c r="E32" s="24">
        <v>43.07</v>
      </c>
      <c r="F32" s="24">
        <f t="shared" si="10"/>
        <v>516.8</v>
      </c>
      <c r="G32" s="24">
        <f>1.275+2.3376</f>
        <v>3.6126</v>
      </c>
      <c r="H32" s="24">
        <f t="shared" si="11"/>
        <v>43.4</v>
      </c>
      <c r="I32" s="24">
        <f>IF(H32=0,0,ROUND(H32/$F32*100,2))</f>
        <v>8.4</v>
      </c>
      <c r="J32" s="24"/>
      <c r="K32" s="24">
        <f t="shared" si="12"/>
        <v>0</v>
      </c>
      <c r="L32" s="24">
        <f>IF(K32=0,0,ROUND(K32/$F32*100,2))</f>
        <v>0</v>
      </c>
      <c r="M32" s="24">
        <v>27.0772</v>
      </c>
      <c r="N32" s="24">
        <f t="shared" si="13"/>
        <v>324.9</v>
      </c>
      <c r="O32" s="24">
        <f>IF(N32=0,0,ROUND(N32/SUM($F32,$H32,$K32)*100,2))</f>
        <v>58</v>
      </c>
      <c r="P32" s="24" t="e">
        <f aca="true" t="shared" si="18" ref="P32:U32">P33+P34</f>
        <v>#REF!</v>
      </c>
      <c r="Q32" s="24" t="e">
        <f t="shared" si="18"/>
        <v>#REF!</v>
      </c>
      <c r="R32" s="24" t="e">
        <f t="shared" si="18"/>
        <v>#REF!</v>
      </c>
      <c r="S32" s="24" t="e">
        <f t="shared" si="18"/>
        <v>#REF!</v>
      </c>
      <c r="T32" s="24" t="e">
        <f t="shared" si="18"/>
        <v>#REF!</v>
      </c>
      <c r="U32" s="24" t="e">
        <f t="shared" si="18"/>
        <v>#REF!</v>
      </c>
      <c r="V32" s="24">
        <f>SUM(F32,H32,K32,N32)</f>
        <v>885.0999999999999</v>
      </c>
      <c r="W32" s="49">
        <f t="shared" si="15"/>
        <v>1504.6699999999998</v>
      </c>
      <c r="X32" s="24">
        <v>1.262</v>
      </c>
      <c r="Y32" s="48">
        <f t="shared" si="1"/>
        <v>1898.9</v>
      </c>
    </row>
    <row r="33" spans="1:25" s="39" customFormat="1" ht="27" customHeight="1" hidden="1">
      <c r="A33" s="37"/>
      <c r="B33" s="38" t="s">
        <v>78</v>
      </c>
      <c r="C33" s="38"/>
      <c r="D33" s="24"/>
      <c r="E33" s="24"/>
      <c r="F33" s="24">
        <f t="shared" si="10"/>
        <v>0</v>
      </c>
      <c r="G33" s="24"/>
      <c r="H33" s="24">
        <f t="shared" si="11"/>
        <v>0</v>
      </c>
      <c r="I33" s="24">
        <f>IF(H33=0,0,ROUND(H33/$F33*100,2))</f>
        <v>0</v>
      </c>
      <c r="J33" s="24"/>
      <c r="K33" s="24">
        <f t="shared" si="12"/>
        <v>0</v>
      </c>
      <c r="L33" s="24">
        <f>IF(K33=0,0,ROUND(K33/$F33*100,2))</f>
        <v>0</v>
      </c>
      <c r="M33" s="24"/>
      <c r="N33" s="24">
        <f t="shared" si="13"/>
        <v>0</v>
      </c>
      <c r="O33" s="24">
        <f>IF(N33=0,0,ROUND(N33/SUM($F33,$H33,$K33)*100,2))</f>
        <v>0</v>
      </c>
      <c r="P33" s="24" t="e">
        <f>#REF!</f>
        <v>#REF!</v>
      </c>
      <c r="Q33" s="24" t="e">
        <f>ROUND(P33*12,1)</f>
        <v>#REF!</v>
      </c>
      <c r="R33" s="24" t="e">
        <f>IF(Q33=0,0,ROUND(Q33/SUM($F33,$H33,$K33)*100,2))</f>
        <v>#REF!</v>
      </c>
      <c r="S33" s="24" t="e">
        <f>#REF!</f>
        <v>#REF!</v>
      </c>
      <c r="T33" s="24" t="e">
        <f>ROUND(S33*12,1)</f>
        <v>#REF!</v>
      </c>
      <c r="U33" s="24" t="e">
        <f>IF(T33=0,0,ROUND(T33/SUM($F33,$H33,$K33)*100,2))</f>
        <v>#REF!</v>
      </c>
      <c r="V33" s="24">
        <f>SUM(F33,H33,K33,N33)</f>
        <v>0</v>
      </c>
      <c r="W33" s="49">
        <f t="shared" si="15"/>
        <v>0</v>
      </c>
      <c r="X33" s="24">
        <v>1.262</v>
      </c>
      <c r="Y33" s="48">
        <f t="shared" si="1"/>
        <v>0</v>
      </c>
    </row>
    <row r="34" spans="1:25" s="39" customFormat="1" ht="19.5" customHeight="1" hidden="1">
      <c r="A34" s="37"/>
      <c r="B34" s="38" t="s">
        <v>79</v>
      </c>
      <c r="C34" s="38"/>
      <c r="D34" s="24"/>
      <c r="E34" s="24"/>
      <c r="F34" s="24">
        <f t="shared" si="10"/>
        <v>0</v>
      </c>
      <c r="G34" s="24"/>
      <c r="H34" s="24">
        <f t="shared" si="11"/>
        <v>0</v>
      </c>
      <c r="I34" s="24">
        <f>IF(H34=0,0,ROUND(H34/$F34*100,2))</f>
        <v>0</v>
      </c>
      <c r="J34" s="24"/>
      <c r="K34" s="24">
        <f t="shared" si="12"/>
        <v>0</v>
      </c>
      <c r="L34" s="24">
        <f>IF(K34=0,0,ROUND(K34/$F34*100,2))</f>
        <v>0</v>
      </c>
      <c r="M34" s="24"/>
      <c r="N34" s="24">
        <f t="shared" si="13"/>
        <v>0</v>
      </c>
      <c r="O34" s="24">
        <f>IF(N34=0,0,ROUND(N34/SUM($F34,$H34,$K34)*100,2))</f>
        <v>0</v>
      </c>
      <c r="P34" s="24" t="e">
        <f>#REF!</f>
        <v>#REF!</v>
      </c>
      <c r="Q34" s="24" t="e">
        <f>ROUND(P34*12,1)</f>
        <v>#REF!</v>
      </c>
      <c r="R34" s="24" t="e">
        <f>IF(Q34=0,0,ROUND(Q34/SUM($F34,$H34,$K34)*100,2))</f>
        <v>#REF!</v>
      </c>
      <c r="S34" s="24" t="e">
        <f>#REF!</f>
        <v>#REF!</v>
      </c>
      <c r="T34" s="24" t="e">
        <f>ROUND(S34*12,1)</f>
        <v>#REF!</v>
      </c>
      <c r="U34" s="24" t="e">
        <f>IF(T34=0,0,ROUND(T34/SUM($F34,$H34,$K34)*100,2))</f>
        <v>#REF!</v>
      </c>
      <c r="V34" s="24">
        <f>SUM(F34,H34,K34,N34)</f>
        <v>0</v>
      </c>
      <c r="W34" s="49">
        <f t="shared" si="15"/>
        <v>0</v>
      </c>
      <c r="X34" s="24">
        <v>1.262</v>
      </c>
      <c r="Y34" s="48">
        <f t="shared" si="1"/>
        <v>0</v>
      </c>
    </row>
    <row r="35" spans="1:25" s="4" customFormat="1" ht="28.5" customHeight="1" hidden="1">
      <c r="A35" s="46">
        <f>A31+1</f>
        <v>8</v>
      </c>
      <c r="B35" s="47" t="s">
        <v>85</v>
      </c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>
        <v>1.262</v>
      </c>
      <c r="Y35" s="48">
        <f t="shared" si="1"/>
        <v>0</v>
      </c>
    </row>
    <row r="36" spans="1:25" s="39" customFormat="1" ht="50.25" customHeight="1" hidden="1">
      <c r="A36" s="37"/>
      <c r="B36" s="38" t="s">
        <v>77</v>
      </c>
      <c r="C36" s="38"/>
      <c r="D36" s="24">
        <v>45</v>
      </c>
      <c r="E36" s="24">
        <v>137.911</v>
      </c>
      <c r="F36" s="24">
        <f t="shared" si="10"/>
        <v>1654.9</v>
      </c>
      <c r="G36" s="24">
        <v>57.2836</v>
      </c>
      <c r="H36" s="24">
        <f t="shared" si="11"/>
        <v>687.4</v>
      </c>
      <c r="I36" s="24">
        <f>IF(H36=0,0,ROUND(H36/$F36*100,2))</f>
        <v>41.54</v>
      </c>
      <c r="J36" s="24">
        <v>2.59864</v>
      </c>
      <c r="K36" s="24">
        <f t="shared" si="12"/>
        <v>31.2</v>
      </c>
      <c r="L36" s="24">
        <f>IF(K36=0,0,ROUND(K36/$F36*100,2))</f>
        <v>1.89</v>
      </c>
      <c r="M36" s="24">
        <f>35.51914+79.31688</f>
        <v>114.83601999999999</v>
      </c>
      <c r="N36" s="24">
        <f t="shared" si="13"/>
        <v>1378</v>
      </c>
      <c r="O36" s="24">
        <f>IF(N36=0,0,ROUND(N36/SUM($F36,$H36,$K36)*100,2))</f>
        <v>58.06</v>
      </c>
      <c r="P36" s="24" t="e">
        <f aca="true" t="shared" si="19" ref="P36:U36">P37+P38</f>
        <v>#REF!</v>
      </c>
      <c r="Q36" s="24" t="e">
        <f t="shared" si="19"/>
        <v>#REF!</v>
      </c>
      <c r="R36" s="24" t="e">
        <f t="shared" si="19"/>
        <v>#REF!</v>
      </c>
      <c r="S36" s="24" t="e">
        <f t="shared" si="19"/>
        <v>#REF!</v>
      </c>
      <c r="T36" s="24" t="e">
        <f t="shared" si="19"/>
        <v>#REF!</v>
      </c>
      <c r="U36" s="24" t="e">
        <f t="shared" si="19"/>
        <v>#REF!</v>
      </c>
      <c r="V36" s="24">
        <f>SUM(F36,H36,K36,N36)</f>
        <v>3751.5</v>
      </c>
      <c r="W36" s="49">
        <f t="shared" si="15"/>
        <v>6377.55</v>
      </c>
      <c r="X36" s="24">
        <v>1.262</v>
      </c>
      <c r="Y36" s="48">
        <f t="shared" si="1"/>
        <v>8048.5</v>
      </c>
    </row>
    <row r="37" spans="1:25" s="39" customFormat="1" ht="27" customHeight="1" hidden="1">
      <c r="A37" s="37"/>
      <c r="B37" s="38" t="s">
        <v>78</v>
      </c>
      <c r="C37" s="38"/>
      <c r="D37" s="24"/>
      <c r="E37" s="24"/>
      <c r="F37" s="24">
        <f t="shared" si="10"/>
        <v>0</v>
      </c>
      <c r="G37" s="24"/>
      <c r="H37" s="24">
        <f t="shared" si="11"/>
        <v>0</v>
      </c>
      <c r="I37" s="24">
        <f>IF(H37=0,0,ROUND(H37/$F37*100,2))</f>
        <v>0</v>
      </c>
      <c r="J37" s="24"/>
      <c r="K37" s="24">
        <f t="shared" si="12"/>
        <v>0</v>
      </c>
      <c r="L37" s="24">
        <f>IF(K37=0,0,ROUND(K37/$F37*100,2))</f>
        <v>0</v>
      </c>
      <c r="M37" s="24"/>
      <c r="N37" s="24">
        <f t="shared" si="13"/>
        <v>0</v>
      </c>
      <c r="O37" s="24">
        <f>IF(N37=0,0,ROUND(N37/SUM($F37,$H37,$K37)*100,2))</f>
        <v>0</v>
      </c>
      <c r="P37" s="24" t="e">
        <f>#REF!</f>
        <v>#REF!</v>
      </c>
      <c r="Q37" s="24" t="e">
        <f>ROUND(P37*12,1)</f>
        <v>#REF!</v>
      </c>
      <c r="R37" s="24" t="e">
        <f>IF(Q37=0,0,ROUND(Q37/SUM($F37,$H37,$K37)*100,2))</f>
        <v>#REF!</v>
      </c>
      <c r="S37" s="24" t="e">
        <f>#REF!</f>
        <v>#REF!</v>
      </c>
      <c r="T37" s="24" t="e">
        <f>ROUND(S37*12,1)</f>
        <v>#REF!</v>
      </c>
      <c r="U37" s="24" t="e">
        <f>IF(T37=0,0,ROUND(T37/SUM($F37,$H37,$K37)*100,2))</f>
        <v>#REF!</v>
      </c>
      <c r="V37" s="24">
        <f>SUM(F37,H37,K37,N37)</f>
        <v>0</v>
      </c>
      <c r="W37" s="49">
        <f t="shared" si="15"/>
        <v>0</v>
      </c>
      <c r="X37" s="24">
        <v>1.262</v>
      </c>
      <c r="Y37" s="48">
        <f t="shared" si="1"/>
        <v>0</v>
      </c>
    </row>
    <row r="38" spans="1:25" s="39" customFormat="1" ht="19.5" customHeight="1" hidden="1">
      <c r="A38" s="37"/>
      <c r="B38" s="38" t="s">
        <v>79</v>
      </c>
      <c r="C38" s="38"/>
      <c r="D38" s="24"/>
      <c r="E38" s="24"/>
      <c r="F38" s="24">
        <f t="shared" si="10"/>
        <v>0</v>
      </c>
      <c r="G38" s="24"/>
      <c r="H38" s="24">
        <f t="shared" si="11"/>
        <v>0</v>
      </c>
      <c r="I38" s="24">
        <f>IF(H38=0,0,ROUND(H38/$F38*100,2))</f>
        <v>0</v>
      </c>
      <c r="J38" s="24"/>
      <c r="K38" s="24">
        <f t="shared" si="12"/>
        <v>0</v>
      </c>
      <c r="L38" s="24">
        <f>IF(K38=0,0,ROUND(K38/$F38*100,2))</f>
        <v>0</v>
      </c>
      <c r="M38" s="24"/>
      <c r="N38" s="24">
        <f t="shared" si="13"/>
        <v>0</v>
      </c>
      <c r="O38" s="24">
        <f>IF(N38=0,0,ROUND(N38/SUM($F38,$H38,$K38)*100,2))</f>
        <v>0</v>
      </c>
      <c r="P38" s="24" t="e">
        <f>#REF!</f>
        <v>#REF!</v>
      </c>
      <c r="Q38" s="24" t="e">
        <f>ROUND(P38*12,1)</f>
        <v>#REF!</v>
      </c>
      <c r="R38" s="24" t="e">
        <f>IF(Q38=0,0,ROUND(Q38/SUM($F38,$H38,$K38)*100,2))</f>
        <v>#REF!</v>
      </c>
      <c r="S38" s="24" t="e">
        <f>#REF!</f>
        <v>#REF!</v>
      </c>
      <c r="T38" s="24" t="e">
        <f>ROUND(S38*12,1)</f>
        <v>#REF!</v>
      </c>
      <c r="U38" s="24" t="e">
        <f>IF(T38=0,0,ROUND(T38/SUM($F38,$H38,$K38)*100,2))</f>
        <v>#REF!</v>
      </c>
      <c r="V38" s="24">
        <f>SUM(F38,H38,K38,N38)</f>
        <v>0</v>
      </c>
      <c r="W38" s="49">
        <f t="shared" si="15"/>
        <v>0</v>
      </c>
      <c r="X38" s="24">
        <v>1.262</v>
      </c>
      <c r="Y38" s="48">
        <f t="shared" si="1"/>
        <v>0</v>
      </c>
    </row>
    <row r="39" spans="1:25" s="4" customFormat="1" ht="28.5" customHeight="1" hidden="1">
      <c r="A39" s="46">
        <f>A35+1</f>
        <v>9</v>
      </c>
      <c r="B39" s="47" t="s">
        <v>86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>
        <v>1.262</v>
      </c>
      <c r="Y39" s="48">
        <f t="shared" si="1"/>
        <v>0</v>
      </c>
    </row>
    <row r="40" spans="1:25" s="39" customFormat="1" ht="50.25" customHeight="1" hidden="1">
      <c r="A40" s="37"/>
      <c r="B40" s="38" t="s">
        <v>77</v>
      </c>
      <c r="C40" s="38"/>
      <c r="D40" s="24">
        <v>49</v>
      </c>
      <c r="E40" s="24">
        <v>156.254</v>
      </c>
      <c r="F40" s="24">
        <f t="shared" si="10"/>
        <v>1875</v>
      </c>
      <c r="G40" s="24">
        <f>58.387+1.3737</f>
        <v>59.7607</v>
      </c>
      <c r="H40" s="24">
        <f t="shared" si="11"/>
        <v>717.1</v>
      </c>
      <c r="I40" s="24">
        <f>IF(H40=0,0,ROUND(H40/$F40*100,2))</f>
        <v>38.25</v>
      </c>
      <c r="J40" s="24">
        <f>0.8475+0.79098+0.2229</f>
        <v>1.86138</v>
      </c>
      <c r="K40" s="24">
        <f t="shared" si="12"/>
        <v>22.3</v>
      </c>
      <c r="L40" s="24">
        <f>IF(K40=0,0,ROUND(K40/$F40*100,2))</f>
        <v>1.19</v>
      </c>
      <c r="M40" s="24">
        <v>137.7124</v>
      </c>
      <c r="N40" s="24">
        <f t="shared" si="13"/>
        <v>1652.5</v>
      </c>
      <c r="O40" s="24">
        <f>IF(N40=0,0,ROUND(N40/SUM($F40,$H40,$K40)*100,2))</f>
        <v>63.21</v>
      </c>
      <c r="P40" s="24" t="e">
        <f aca="true" t="shared" si="20" ref="P40:U40">P41+P42</f>
        <v>#REF!</v>
      </c>
      <c r="Q40" s="24" t="e">
        <f t="shared" si="20"/>
        <v>#REF!</v>
      </c>
      <c r="R40" s="24" t="e">
        <f t="shared" si="20"/>
        <v>#REF!</v>
      </c>
      <c r="S40" s="24" t="e">
        <f t="shared" si="20"/>
        <v>#REF!</v>
      </c>
      <c r="T40" s="24" t="e">
        <f t="shared" si="20"/>
        <v>#REF!</v>
      </c>
      <c r="U40" s="24" t="e">
        <f t="shared" si="20"/>
        <v>#REF!</v>
      </c>
      <c r="V40" s="24">
        <f>SUM(F40,H40,K40,N40)</f>
        <v>4266.9</v>
      </c>
      <c r="W40" s="49">
        <f t="shared" si="15"/>
        <v>7253.73</v>
      </c>
      <c r="X40" s="24">
        <v>1.262</v>
      </c>
      <c r="Y40" s="48">
        <f t="shared" si="1"/>
        <v>9154.2</v>
      </c>
    </row>
    <row r="41" spans="1:25" s="39" customFormat="1" ht="27" customHeight="1" hidden="1">
      <c r="A41" s="37"/>
      <c r="B41" s="38" t="s">
        <v>78</v>
      </c>
      <c r="C41" s="38"/>
      <c r="D41" s="24"/>
      <c r="E41" s="24"/>
      <c r="F41" s="24">
        <f t="shared" si="10"/>
        <v>0</v>
      </c>
      <c r="G41" s="24"/>
      <c r="H41" s="24">
        <f t="shared" si="11"/>
        <v>0</v>
      </c>
      <c r="I41" s="24">
        <f>IF(H41=0,0,ROUND(H41/$F41*100,2))</f>
        <v>0</v>
      </c>
      <c r="J41" s="24"/>
      <c r="K41" s="24">
        <f t="shared" si="12"/>
        <v>0</v>
      </c>
      <c r="L41" s="24">
        <f>IF(K41=0,0,ROUND(K41/$F41*100,2))</f>
        <v>0</v>
      </c>
      <c r="M41" s="24"/>
      <c r="N41" s="24">
        <f t="shared" si="13"/>
        <v>0</v>
      </c>
      <c r="O41" s="24">
        <f>IF(N41=0,0,ROUND(N41/SUM($F41,$H41,$K41)*100,2))</f>
        <v>0</v>
      </c>
      <c r="P41" s="24" t="e">
        <f>#REF!</f>
        <v>#REF!</v>
      </c>
      <c r="Q41" s="24" t="e">
        <f>ROUND(P41*12,1)</f>
        <v>#REF!</v>
      </c>
      <c r="R41" s="24" t="e">
        <f>IF(Q41=0,0,ROUND(Q41/SUM($F41,$H41,$K41)*100,2))</f>
        <v>#REF!</v>
      </c>
      <c r="S41" s="24" t="e">
        <f>#REF!</f>
        <v>#REF!</v>
      </c>
      <c r="T41" s="24" t="e">
        <f>ROUND(S41*12,1)</f>
        <v>#REF!</v>
      </c>
      <c r="U41" s="24" t="e">
        <f>IF(T41=0,0,ROUND(T41/SUM($F41,$H41,$K41)*100,2))</f>
        <v>#REF!</v>
      </c>
      <c r="V41" s="24">
        <f>SUM(F41,H41,K41,N41)</f>
        <v>0</v>
      </c>
      <c r="W41" s="49">
        <f t="shared" si="15"/>
        <v>0</v>
      </c>
      <c r="X41" s="24">
        <v>1.262</v>
      </c>
      <c r="Y41" s="48">
        <f t="shared" si="1"/>
        <v>0</v>
      </c>
    </row>
    <row r="42" spans="1:25" s="39" customFormat="1" ht="19.5" customHeight="1" hidden="1">
      <c r="A42" s="37"/>
      <c r="B42" s="38" t="s">
        <v>79</v>
      </c>
      <c r="C42" s="38"/>
      <c r="D42" s="24"/>
      <c r="E42" s="24"/>
      <c r="F42" s="24">
        <f t="shared" si="10"/>
        <v>0</v>
      </c>
      <c r="G42" s="24"/>
      <c r="H42" s="24">
        <f t="shared" si="11"/>
        <v>0</v>
      </c>
      <c r="I42" s="24">
        <f>IF(H42=0,0,ROUND(H42/$F42*100,2))</f>
        <v>0</v>
      </c>
      <c r="J42" s="24"/>
      <c r="K42" s="24">
        <f t="shared" si="12"/>
        <v>0</v>
      </c>
      <c r="L42" s="24">
        <f>IF(K42=0,0,ROUND(K42/$F42*100,2))</f>
        <v>0</v>
      </c>
      <c r="M42" s="24"/>
      <c r="N42" s="24">
        <f t="shared" si="13"/>
        <v>0</v>
      </c>
      <c r="O42" s="24">
        <f>IF(N42=0,0,ROUND(N42/SUM($F42,$H42,$K42)*100,2))</f>
        <v>0</v>
      </c>
      <c r="P42" s="24" t="e">
        <f>#REF!</f>
        <v>#REF!</v>
      </c>
      <c r="Q42" s="24" t="e">
        <f>ROUND(P42*12,1)</f>
        <v>#REF!</v>
      </c>
      <c r="R42" s="24" t="e">
        <f>IF(Q42=0,0,ROUND(Q42/SUM($F42,$H42,$K42)*100,2))</f>
        <v>#REF!</v>
      </c>
      <c r="S42" s="24" t="e">
        <f>#REF!</f>
        <v>#REF!</v>
      </c>
      <c r="T42" s="24" t="e">
        <f>ROUND(S42*12,1)</f>
        <v>#REF!</v>
      </c>
      <c r="U42" s="24" t="e">
        <f>IF(T42=0,0,ROUND(T42/SUM($F42,$H42,$K42)*100,2))</f>
        <v>#REF!</v>
      </c>
      <c r="V42" s="24">
        <f>SUM(F42,H42,K42,N42)</f>
        <v>0</v>
      </c>
      <c r="W42" s="49">
        <f t="shared" si="15"/>
        <v>0</v>
      </c>
      <c r="X42" s="24">
        <v>1.262</v>
      </c>
      <c r="Y42" s="48">
        <f t="shared" si="1"/>
        <v>0</v>
      </c>
    </row>
    <row r="43" spans="1:25" s="4" customFormat="1" ht="28.5" customHeight="1" hidden="1">
      <c r="A43" s="46">
        <f>A39+1</f>
        <v>10</v>
      </c>
      <c r="B43" s="47" t="s">
        <v>87</v>
      </c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>
        <v>1.262</v>
      </c>
      <c r="Y43" s="48">
        <f t="shared" si="1"/>
        <v>0</v>
      </c>
    </row>
    <row r="44" spans="1:25" s="39" customFormat="1" ht="50.25" customHeight="1" hidden="1">
      <c r="A44" s="37"/>
      <c r="B44" s="38" t="s">
        <v>77</v>
      </c>
      <c r="C44" s="38"/>
      <c r="D44" s="24">
        <v>12</v>
      </c>
      <c r="E44" s="24">
        <v>38.258</v>
      </c>
      <c r="F44" s="24">
        <f t="shared" si="10"/>
        <v>459.1</v>
      </c>
      <c r="G44" s="24">
        <v>12.2552</v>
      </c>
      <c r="H44" s="24">
        <f t="shared" si="11"/>
        <v>147.1</v>
      </c>
      <c r="I44" s="24">
        <f>IF(H44=0,0,ROUND(H44/$F44*100,2))</f>
        <v>32.04</v>
      </c>
      <c r="J44" s="24"/>
      <c r="K44" s="24">
        <f t="shared" si="12"/>
        <v>0</v>
      </c>
      <c r="L44" s="24">
        <f>IF(K44=0,0,ROUND(K44/$F44*100,2))</f>
        <v>0</v>
      </c>
      <c r="M44" s="24">
        <v>29.854</v>
      </c>
      <c r="N44" s="24">
        <f t="shared" si="13"/>
        <v>358.2</v>
      </c>
      <c r="O44" s="24">
        <f>IF(N44=0,0,ROUND(N44/SUM($F44,$H44,$K44)*100,2))</f>
        <v>59.09</v>
      </c>
      <c r="P44" s="24" t="e">
        <f aca="true" t="shared" si="21" ref="P44:U44">P45+P46</f>
        <v>#REF!</v>
      </c>
      <c r="Q44" s="24" t="e">
        <f t="shared" si="21"/>
        <v>#REF!</v>
      </c>
      <c r="R44" s="24" t="e">
        <f t="shared" si="21"/>
        <v>#REF!</v>
      </c>
      <c r="S44" s="24" t="e">
        <f t="shared" si="21"/>
        <v>#REF!</v>
      </c>
      <c r="T44" s="24" t="e">
        <f t="shared" si="21"/>
        <v>#REF!</v>
      </c>
      <c r="U44" s="24" t="e">
        <f t="shared" si="21"/>
        <v>#REF!</v>
      </c>
      <c r="V44" s="24">
        <f>SUM(F44,H44,K44,N44)</f>
        <v>964.4000000000001</v>
      </c>
      <c r="W44" s="49">
        <f t="shared" si="15"/>
        <v>1639.48</v>
      </c>
      <c r="X44" s="24">
        <v>1.262</v>
      </c>
      <c r="Y44" s="48">
        <f t="shared" si="1"/>
        <v>2069</v>
      </c>
    </row>
    <row r="45" spans="1:25" s="39" customFormat="1" ht="27" customHeight="1" hidden="1">
      <c r="A45" s="37"/>
      <c r="B45" s="38" t="s">
        <v>78</v>
      </c>
      <c r="C45" s="38"/>
      <c r="D45" s="24"/>
      <c r="E45" s="24"/>
      <c r="F45" s="24">
        <f t="shared" si="10"/>
        <v>0</v>
      </c>
      <c r="G45" s="24"/>
      <c r="H45" s="24">
        <f t="shared" si="11"/>
        <v>0</v>
      </c>
      <c r="I45" s="24">
        <f>IF(H45=0,0,ROUND(H45/$F45*100,2))</f>
        <v>0</v>
      </c>
      <c r="J45" s="24"/>
      <c r="K45" s="24">
        <f t="shared" si="12"/>
        <v>0</v>
      </c>
      <c r="L45" s="24">
        <f>IF(K45=0,0,ROUND(K45/$F45*100,2))</f>
        <v>0</v>
      </c>
      <c r="M45" s="24"/>
      <c r="N45" s="24">
        <f t="shared" si="13"/>
        <v>0</v>
      </c>
      <c r="O45" s="24">
        <f>IF(N45=0,0,ROUND(N45/SUM($F45,$H45,$K45)*100,2))</f>
        <v>0</v>
      </c>
      <c r="P45" s="24" t="e">
        <f>#REF!</f>
        <v>#REF!</v>
      </c>
      <c r="Q45" s="24" t="e">
        <f>ROUND(P45*12,1)</f>
        <v>#REF!</v>
      </c>
      <c r="R45" s="24" t="e">
        <f>IF(Q45=0,0,ROUND(Q45/SUM($F45,$H45,$K45)*100,2))</f>
        <v>#REF!</v>
      </c>
      <c r="S45" s="24" t="e">
        <f>#REF!</f>
        <v>#REF!</v>
      </c>
      <c r="T45" s="24" t="e">
        <f>ROUND(S45*12,1)</f>
        <v>#REF!</v>
      </c>
      <c r="U45" s="24" t="e">
        <f>IF(T45=0,0,ROUND(T45/SUM($F45,$H45,$K45)*100,2))</f>
        <v>#REF!</v>
      </c>
      <c r="V45" s="24">
        <f>SUM(F45,H45,K45,N45)</f>
        <v>0</v>
      </c>
      <c r="W45" s="49">
        <f t="shared" si="15"/>
        <v>0</v>
      </c>
      <c r="X45" s="24">
        <v>1.262</v>
      </c>
      <c r="Y45" s="48">
        <f t="shared" si="1"/>
        <v>0</v>
      </c>
    </row>
    <row r="46" spans="1:25" s="39" customFormat="1" ht="19.5" customHeight="1" hidden="1">
      <c r="A46" s="37"/>
      <c r="B46" s="38" t="s">
        <v>79</v>
      </c>
      <c r="C46" s="38"/>
      <c r="D46" s="24"/>
      <c r="E46" s="24"/>
      <c r="F46" s="24">
        <f t="shared" si="10"/>
        <v>0</v>
      </c>
      <c r="G46" s="24"/>
      <c r="H46" s="24">
        <f t="shared" si="11"/>
        <v>0</v>
      </c>
      <c r="I46" s="24">
        <f>IF(H46=0,0,ROUND(H46/$F46*100,2))</f>
        <v>0</v>
      </c>
      <c r="J46" s="24"/>
      <c r="K46" s="24">
        <f t="shared" si="12"/>
        <v>0</v>
      </c>
      <c r="L46" s="24">
        <f>IF(K46=0,0,ROUND(K46/$F46*100,2))</f>
        <v>0</v>
      </c>
      <c r="M46" s="24"/>
      <c r="N46" s="24">
        <f t="shared" si="13"/>
        <v>0</v>
      </c>
      <c r="O46" s="24">
        <f>IF(N46=0,0,ROUND(N46/SUM($F46,$H46,$K46)*100,2))</f>
        <v>0</v>
      </c>
      <c r="P46" s="24" t="e">
        <f>#REF!</f>
        <v>#REF!</v>
      </c>
      <c r="Q46" s="24" t="e">
        <f>ROUND(P46*12,1)</f>
        <v>#REF!</v>
      </c>
      <c r="R46" s="24" t="e">
        <f>IF(Q46=0,0,ROUND(Q46/SUM($F46,$H46,$K46)*100,2))</f>
        <v>#REF!</v>
      </c>
      <c r="S46" s="24" t="e">
        <f>#REF!</f>
        <v>#REF!</v>
      </c>
      <c r="T46" s="24" t="e">
        <f>ROUND(S46*12,1)</f>
        <v>#REF!</v>
      </c>
      <c r="U46" s="24" t="e">
        <f>IF(T46=0,0,ROUND(T46/SUM($F46,$H46,$K46)*100,2))</f>
        <v>#REF!</v>
      </c>
      <c r="V46" s="24">
        <f>SUM(F46,H46,K46,N46)</f>
        <v>0</v>
      </c>
      <c r="W46" s="49">
        <f t="shared" si="15"/>
        <v>0</v>
      </c>
      <c r="X46" s="24">
        <v>1.262</v>
      </c>
      <c r="Y46" s="48">
        <f t="shared" si="1"/>
        <v>0</v>
      </c>
    </row>
    <row r="47" spans="1:25" s="4" customFormat="1" ht="24.75" customHeight="1" hidden="1">
      <c r="A47" s="46">
        <f>A43+1</f>
        <v>11</v>
      </c>
      <c r="B47" s="47" t="s">
        <v>88</v>
      </c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>
        <v>1.262</v>
      </c>
      <c r="Y47" s="48">
        <f t="shared" si="1"/>
        <v>0</v>
      </c>
    </row>
    <row r="48" spans="1:25" s="39" customFormat="1" ht="50.25" customHeight="1" hidden="1">
      <c r="A48" s="37"/>
      <c r="B48" s="38" t="s">
        <v>77</v>
      </c>
      <c r="C48" s="38"/>
      <c r="D48" s="24">
        <v>112</v>
      </c>
      <c r="E48" s="24">
        <v>305.416</v>
      </c>
      <c r="F48" s="24">
        <f aca="true" t="shared" si="22" ref="F48:F58">ROUND(E48*12,1)</f>
        <v>3665</v>
      </c>
      <c r="G48" s="24">
        <v>125.7458</v>
      </c>
      <c r="H48" s="24">
        <f aca="true" t="shared" si="23" ref="H48:H58">ROUND(G48*12,1)</f>
        <v>1508.9</v>
      </c>
      <c r="I48" s="24">
        <f>IF(H48=0,0,ROUND(H48/$F48*100,2))</f>
        <v>41.17</v>
      </c>
      <c r="J48" s="24">
        <v>9.11901</v>
      </c>
      <c r="K48" s="24">
        <f aca="true" t="shared" si="24" ref="K48:K58">ROUND(J48*12,1)</f>
        <v>109.4</v>
      </c>
      <c r="L48" s="24">
        <f>IF(K48=0,0,ROUND(K48/$F48*100,2))</f>
        <v>2.98</v>
      </c>
      <c r="M48" s="24">
        <v>215.9042</v>
      </c>
      <c r="N48" s="24">
        <f aca="true" t="shared" si="25" ref="N48:N58">ROUND(M48*12,1)</f>
        <v>2590.9</v>
      </c>
      <c r="O48" s="24">
        <f>IF(N48=0,0,ROUND(N48/SUM($F48,$H48,$K48)*100,2))</f>
        <v>49.04</v>
      </c>
      <c r="P48" s="24" t="e">
        <f aca="true" t="shared" si="26" ref="P48:U48">P49+P50</f>
        <v>#REF!</v>
      </c>
      <c r="Q48" s="24" t="e">
        <f t="shared" si="26"/>
        <v>#REF!</v>
      </c>
      <c r="R48" s="24" t="e">
        <f t="shared" si="26"/>
        <v>#REF!</v>
      </c>
      <c r="S48" s="24" t="e">
        <f t="shared" si="26"/>
        <v>#REF!</v>
      </c>
      <c r="T48" s="24" t="e">
        <f t="shared" si="26"/>
        <v>#REF!</v>
      </c>
      <c r="U48" s="24" t="e">
        <f t="shared" si="26"/>
        <v>#REF!</v>
      </c>
      <c r="V48" s="24">
        <f>SUM(F48,H48,K48,N48)</f>
        <v>7874.199999999999</v>
      </c>
      <c r="W48" s="49">
        <f aca="true" t="shared" si="27" ref="W48:W58">V48*1.7</f>
        <v>13386.139999999998</v>
      </c>
      <c r="X48" s="24">
        <v>1.262</v>
      </c>
      <c r="Y48" s="48">
        <f t="shared" si="1"/>
        <v>16893.3</v>
      </c>
    </row>
    <row r="49" spans="1:25" s="39" customFormat="1" ht="27" customHeight="1" hidden="1">
      <c r="A49" s="37"/>
      <c r="B49" s="38" t="s">
        <v>78</v>
      </c>
      <c r="C49" s="38"/>
      <c r="D49" s="24"/>
      <c r="E49" s="24"/>
      <c r="F49" s="24">
        <f t="shared" si="22"/>
        <v>0</v>
      </c>
      <c r="G49" s="24"/>
      <c r="H49" s="24">
        <f t="shared" si="23"/>
        <v>0</v>
      </c>
      <c r="I49" s="24">
        <f>IF(H49=0,0,ROUND(H49/$F49*100,2))</f>
        <v>0</v>
      </c>
      <c r="J49" s="24"/>
      <c r="K49" s="24">
        <f t="shared" si="24"/>
        <v>0</v>
      </c>
      <c r="L49" s="24">
        <f>IF(K49=0,0,ROUND(K49/$F49*100,2))</f>
        <v>0</v>
      </c>
      <c r="M49" s="24"/>
      <c r="N49" s="24">
        <f t="shared" si="25"/>
        <v>0</v>
      </c>
      <c r="O49" s="24">
        <f>IF(N49=0,0,ROUND(N49/SUM($F49,$H49,$K49)*100,2))</f>
        <v>0</v>
      </c>
      <c r="P49" s="24" t="e">
        <f>#REF!</f>
        <v>#REF!</v>
      </c>
      <c r="Q49" s="24" t="e">
        <f>ROUND(P49*12,1)</f>
        <v>#REF!</v>
      </c>
      <c r="R49" s="24" t="e">
        <f>IF(Q49=0,0,ROUND(Q49/SUM($F49,$H49,$K49)*100,2))</f>
        <v>#REF!</v>
      </c>
      <c r="S49" s="24" t="e">
        <f>#REF!</f>
        <v>#REF!</v>
      </c>
      <c r="T49" s="24" t="e">
        <f>ROUND(S49*12,1)</f>
        <v>#REF!</v>
      </c>
      <c r="U49" s="24" t="e">
        <f>IF(T49=0,0,ROUND(T49/SUM($F49,$H49,$K49)*100,2))</f>
        <v>#REF!</v>
      </c>
      <c r="V49" s="24">
        <f>SUM(F49,H49,K49,N49)</f>
        <v>0</v>
      </c>
      <c r="W49" s="49">
        <f t="shared" si="27"/>
        <v>0</v>
      </c>
      <c r="X49" s="24">
        <v>1.262</v>
      </c>
      <c r="Y49" s="48">
        <f t="shared" si="1"/>
        <v>0</v>
      </c>
    </row>
    <row r="50" spans="1:25" s="39" customFormat="1" ht="19.5" customHeight="1" hidden="1">
      <c r="A50" s="37"/>
      <c r="B50" s="38" t="s">
        <v>79</v>
      </c>
      <c r="C50" s="38"/>
      <c r="D50" s="24"/>
      <c r="E50" s="24"/>
      <c r="F50" s="24">
        <f t="shared" si="22"/>
        <v>0</v>
      </c>
      <c r="G50" s="24"/>
      <c r="H50" s="24">
        <f t="shared" si="23"/>
        <v>0</v>
      </c>
      <c r="I50" s="24">
        <f>IF(H50=0,0,ROUND(H50/$F50*100,2))</f>
        <v>0</v>
      </c>
      <c r="J50" s="24"/>
      <c r="K50" s="24">
        <f t="shared" si="24"/>
        <v>0</v>
      </c>
      <c r="L50" s="24">
        <f>IF(K50=0,0,ROUND(K50/$F50*100,2))</f>
        <v>0</v>
      </c>
      <c r="M50" s="24"/>
      <c r="N50" s="24">
        <f t="shared" si="25"/>
        <v>0</v>
      </c>
      <c r="O50" s="24">
        <f>IF(N50=0,0,ROUND(N50/SUM($F50,$H50,$K50)*100,2))</f>
        <v>0</v>
      </c>
      <c r="P50" s="24" t="e">
        <f>#REF!</f>
        <v>#REF!</v>
      </c>
      <c r="Q50" s="24" t="e">
        <f>ROUND(P50*12,1)</f>
        <v>#REF!</v>
      </c>
      <c r="R50" s="24" t="e">
        <f>IF(Q50=0,0,ROUND(Q50/SUM($F50,$H50,$K50)*100,2))</f>
        <v>#REF!</v>
      </c>
      <c r="S50" s="24" t="e">
        <f>#REF!</f>
        <v>#REF!</v>
      </c>
      <c r="T50" s="24" t="e">
        <f>ROUND(S50*12,1)</f>
        <v>#REF!</v>
      </c>
      <c r="U50" s="24" t="e">
        <f>IF(T50=0,0,ROUND(T50/SUM($F50,$H50,$K50)*100,2))</f>
        <v>#REF!</v>
      </c>
      <c r="V50" s="24">
        <f>SUM(F50,H50,K50,N50)</f>
        <v>0</v>
      </c>
      <c r="W50" s="49">
        <f t="shared" si="27"/>
        <v>0</v>
      </c>
      <c r="X50" s="24">
        <v>1.262</v>
      </c>
      <c r="Y50" s="48">
        <f t="shared" si="1"/>
        <v>0</v>
      </c>
    </row>
    <row r="51" spans="1:25" s="4" customFormat="1" ht="25.5" customHeight="1" hidden="1">
      <c r="A51" s="46">
        <f>A47+1</f>
        <v>12</v>
      </c>
      <c r="B51" s="47" t="s">
        <v>89</v>
      </c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>
        <v>1.262</v>
      </c>
      <c r="Y51" s="48">
        <f t="shared" si="1"/>
        <v>0</v>
      </c>
    </row>
    <row r="52" spans="1:25" s="39" customFormat="1" ht="50.25" customHeight="1" hidden="1">
      <c r="A52" s="37"/>
      <c r="B52" s="38" t="s">
        <v>77</v>
      </c>
      <c r="C52" s="38"/>
      <c r="D52" s="24">
        <v>66</v>
      </c>
      <c r="E52" s="24">
        <v>43.07</v>
      </c>
      <c r="F52" s="24">
        <f t="shared" si="22"/>
        <v>516.8</v>
      </c>
      <c r="G52" s="24">
        <f>1.275+2.3376</f>
        <v>3.6126</v>
      </c>
      <c r="H52" s="24">
        <f t="shared" si="23"/>
        <v>43.4</v>
      </c>
      <c r="I52" s="24">
        <f>IF(H52=0,0,ROUND(H52/$F52*100,2))</f>
        <v>8.4</v>
      </c>
      <c r="J52" s="24"/>
      <c r="K52" s="24">
        <f t="shared" si="24"/>
        <v>0</v>
      </c>
      <c r="L52" s="24">
        <f>IF(K52=0,0,ROUND(K52/$F52*100,2))</f>
        <v>0</v>
      </c>
      <c r="M52" s="24">
        <v>27.0772</v>
      </c>
      <c r="N52" s="24">
        <f t="shared" si="25"/>
        <v>324.9</v>
      </c>
      <c r="O52" s="24">
        <f>IF(N52=0,0,ROUND(N52/SUM($F52,$H52,$K52)*100,2))</f>
        <v>58</v>
      </c>
      <c r="P52" s="24" t="e">
        <f aca="true" t="shared" si="28" ref="P52:U52">P53+P54</f>
        <v>#REF!</v>
      </c>
      <c r="Q52" s="24" t="e">
        <f t="shared" si="28"/>
        <v>#REF!</v>
      </c>
      <c r="R52" s="24" t="e">
        <f t="shared" si="28"/>
        <v>#REF!</v>
      </c>
      <c r="S52" s="24" t="e">
        <f t="shared" si="28"/>
        <v>#REF!</v>
      </c>
      <c r="T52" s="24" t="e">
        <f t="shared" si="28"/>
        <v>#REF!</v>
      </c>
      <c r="U52" s="24" t="e">
        <f t="shared" si="28"/>
        <v>#REF!</v>
      </c>
      <c r="V52" s="24">
        <f>SUM(F52,H52,K52,N52)</f>
        <v>885.0999999999999</v>
      </c>
      <c r="W52" s="49">
        <f t="shared" si="27"/>
        <v>1504.6699999999998</v>
      </c>
      <c r="X52" s="24">
        <v>1.262</v>
      </c>
      <c r="Y52" s="48">
        <f t="shared" si="1"/>
        <v>1898.9</v>
      </c>
    </row>
    <row r="53" spans="1:25" s="39" customFormat="1" ht="27" customHeight="1" hidden="1">
      <c r="A53" s="37"/>
      <c r="B53" s="38" t="s">
        <v>78</v>
      </c>
      <c r="C53" s="24">
        <v>70</v>
      </c>
      <c r="D53" s="24"/>
      <c r="E53" s="24"/>
      <c r="F53" s="24">
        <f t="shared" si="22"/>
        <v>0</v>
      </c>
      <c r="G53" s="24"/>
      <c r="H53" s="24">
        <f t="shared" si="23"/>
        <v>0</v>
      </c>
      <c r="I53" s="24">
        <f>IF(H53=0,0,ROUND(H53/$F53*100,2))</f>
        <v>0</v>
      </c>
      <c r="J53" s="24"/>
      <c r="K53" s="24">
        <f t="shared" si="24"/>
        <v>0</v>
      </c>
      <c r="L53" s="24">
        <f>IF(K53=0,0,ROUND(K53/$F53*100,2))</f>
        <v>0</v>
      </c>
      <c r="M53" s="24"/>
      <c r="N53" s="24">
        <f t="shared" si="25"/>
        <v>0</v>
      </c>
      <c r="O53" s="24">
        <f>IF(N53=0,0,ROUND(N53/SUM($F53,$H53,$K53)*100,2))</f>
        <v>0</v>
      </c>
      <c r="P53" s="24" t="e">
        <f>#REF!</f>
        <v>#REF!</v>
      </c>
      <c r="Q53" s="24" t="e">
        <f>ROUND(P53*12,1)</f>
        <v>#REF!</v>
      </c>
      <c r="R53" s="24" t="e">
        <f>IF(Q53=0,0,ROUND(Q53/SUM($F53,$H53,$K53)*100,2))</f>
        <v>#REF!</v>
      </c>
      <c r="S53" s="24" t="e">
        <f>#REF!</f>
        <v>#REF!</v>
      </c>
      <c r="T53" s="24" t="e">
        <f>ROUND(S53*12,1)</f>
        <v>#REF!</v>
      </c>
      <c r="U53" s="24" t="e">
        <f>IF(T53=0,0,ROUND(T53/SUM($F53,$H53,$K53)*100,2))</f>
        <v>#REF!</v>
      </c>
      <c r="V53" s="24">
        <f>SUM(F53,H53,K53,N53)</f>
        <v>0</v>
      </c>
      <c r="W53" s="49">
        <f t="shared" si="27"/>
        <v>0</v>
      </c>
      <c r="X53" s="24">
        <v>1.262</v>
      </c>
      <c r="Y53" s="48">
        <f t="shared" si="1"/>
        <v>0</v>
      </c>
    </row>
    <row r="54" spans="1:25" s="39" customFormat="1" ht="19.5" customHeight="1" hidden="1">
      <c r="A54" s="37"/>
      <c r="B54" s="38" t="s">
        <v>79</v>
      </c>
      <c r="C54" s="24">
        <v>20</v>
      </c>
      <c r="D54" s="24"/>
      <c r="E54" s="24"/>
      <c r="F54" s="24">
        <f t="shared" si="22"/>
        <v>0</v>
      </c>
      <c r="G54" s="24"/>
      <c r="H54" s="24">
        <f t="shared" si="23"/>
        <v>0</v>
      </c>
      <c r="I54" s="24">
        <f>IF(H54=0,0,ROUND(H54/$F54*100,2))</f>
        <v>0</v>
      </c>
      <c r="J54" s="24"/>
      <c r="K54" s="24">
        <f t="shared" si="24"/>
        <v>0</v>
      </c>
      <c r="L54" s="24">
        <f>IF(K54=0,0,ROUND(K54/$F54*100,2))</f>
        <v>0</v>
      </c>
      <c r="M54" s="24"/>
      <c r="N54" s="24">
        <f t="shared" si="25"/>
        <v>0</v>
      </c>
      <c r="O54" s="24">
        <f>IF(N54=0,0,ROUND(N54/SUM($F54,$H54,$K54)*100,2))</f>
        <v>0</v>
      </c>
      <c r="P54" s="24" t="e">
        <f>#REF!</f>
        <v>#REF!</v>
      </c>
      <c r="Q54" s="24" t="e">
        <f>ROUND(P54*12,1)</f>
        <v>#REF!</v>
      </c>
      <c r="R54" s="24" t="e">
        <f>IF(Q54=0,0,ROUND(Q54/SUM($F54,$H54,$K54)*100,2))</f>
        <v>#REF!</v>
      </c>
      <c r="S54" s="24" t="e">
        <f>#REF!</f>
        <v>#REF!</v>
      </c>
      <c r="T54" s="24" t="e">
        <f>ROUND(S54*12,1)</f>
        <v>#REF!</v>
      </c>
      <c r="U54" s="24" t="e">
        <f>IF(T54=0,0,ROUND(T54/SUM($F54,$H54,$K54)*100,2))</f>
        <v>#REF!</v>
      </c>
      <c r="V54" s="24">
        <f>SUM(F54,H54,K54,N54)</f>
        <v>0</v>
      </c>
      <c r="W54" s="49">
        <f t="shared" si="27"/>
        <v>0</v>
      </c>
      <c r="X54" s="24">
        <v>1.262</v>
      </c>
      <c r="Y54" s="48">
        <f t="shared" si="1"/>
        <v>0</v>
      </c>
    </row>
    <row r="55" spans="1:25" s="4" customFormat="1" ht="28.5" customHeight="1" hidden="1">
      <c r="A55" s="46">
        <f>A51+1</f>
        <v>13</v>
      </c>
      <c r="B55" s="47" t="s">
        <v>90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>
        <v>1.262</v>
      </c>
      <c r="Y55" s="48">
        <f t="shared" si="1"/>
        <v>0</v>
      </c>
    </row>
    <row r="56" spans="1:25" s="39" customFormat="1" ht="50.25" customHeight="1" hidden="1">
      <c r="A56" s="37"/>
      <c r="B56" s="38" t="s">
        <v>77</v>
      </c>
      <c r="C56" s="38"/>
      <c r="D56" s="24">
        <v>15.5</v>
      </c>
      <c r="E56" s="24">
        <v>43.07</v>
      </c>
      <c r="F56" s="24">
        <f t="shared" si="22"/>
        <v>516.8</v>
      </c>
      <c r="G56" s="24">
        <f>1.275+2.3376</f>
        <v>3.6126</v>
      </c>
      <c r="H56" s="24">
        <f t="shared" si="23"/>
        <v>43.4</v>
      </c>
      <c r="I56" s="24">
        <f>IF(H56=0,0,ROUND(H56/$F56*100,2))</f>
        <v>8.4</v>
      </c>
      <c r="J56" s="24"/>
      <c r="K56" s="24">
        <f t="shared" si="24"/>
        <v>0</v>
      </c>
      <c r="L56" s="24">
        <f>IF(K56=0,0,ROUND(K56/$F56*100,2))</f>
        <v>0</v>
      </c>
      <c r="M56" s="24">
        <v>27.0772</v>
      </c>
      <c r="N56" s="24">
        <f t="shared" si="25"/>
        <v>324.9</v>
      </c>
      <c r="O56" s="24">
        <f>IF(N56=0,0,ROUND(N56/SUM($F56,$H56,$K56)*100,2))</f>
        <v>58</v>
      </c>
      <c r="P56" s="24" t="e">
        <f aca="true" t="shared" si="29" ref="P56:U56">P57+P58</f>
        <v>#REF!</v>
      </c>
      <c r="Q56" s="24" t="e">
        <f t="shared" si="29"/>
        <v>#REF!</v>
      </c>
      <c r="R56" s="24" t="e">
        <f t="shared" si="29"/>
        <v>#REF!</v>
      </c>
      <c r="S56" s="24" t="e">
        <f t="shared" si="29"/>
        <v>#REF!</v>
      </c>
      <c r="T56" s="24" t="e">
        <f t="shared" si="29"/>
        <v>#REF!</v>
      </c>
      <c r="U56" s="24" t="e">
        <f t="shared" si="29"/>
        <v>#REF!</v>
      </c>
      <c r="V56" s="24">
        <f>SUM(F56,H56,K56,N56)</f>
        <v>885.0999999999999</v>
      </c>
      <c r="W56" s="49">
        <f t="shared" si="27"/>
        <v>1504.6699999999998</v>
      </c>
      <c r="X56" s="24">
        <v>1.262</v>
      </c>
      <c r="Y56" s="48">
        <f t="shared" si="1"/>
        <v>1898.9</v>
      </c>
    </row>
    <row r="57" spans="1:25" s="39" customFormat="1" ht="27" customHeight="1" hidden="1">
      <c r="A57" s="37"/>
      <c r="B57" s="38" t="s">
        <v>78</v>
      </c>
      <c r="C57" s="38"/>
      <c r="D57" s="24"/>
      <c r="E57" s="24"/>
      <c r="F57" s="24">
        <f t="shared" si="22"/>
        <v>0</v>
      </c>
      <c r="G57" s="24"/>
      <c r="H57" s="24">
        <f t="shared" si="23"/>
        <v>0</v>
      </c>
      <c r="I57" s="24">
        <f>IF(H57=0,0,ROUND(H57/$F57*100,2))</f>
        <v>0</v>
      </c>
      <c r="J57" s="24"/>
      <c r="K57" s="24">
        <f t="shared" si="24"/>
        <v>0</v>
      </c>
      <c r="L57" s="24">
        <f>IF(K57=0,0,ROUND(K57/$F57*100,2))</f>
        <v>0</v>
      </c>
      <c r="M57" s="24"/>
      <c r="N57" s="24">
        <f t="shared" si="25"/>
        <v>0</v>
      </c>
      <c r="O57" s="24">
        <f>IF(N57=0,0,ROUND(N57/SUM($F57,$H57,$K57)*100,2))</f>
        <v>0</v>
      </c>
      <c r="P57" s="24" t="e">
        <f>#REF!</f>
        <v>#REF!</v>
      </c>
      <c r="Q57" s="24" t="e">
        <f>ROUND(P57*12,1)</f>
        <v>#REF!</v>
      </c>
      <c r="R57" s="24" t="e">
        <f>IF(Q57=0,0,ROUND(Q57/SUM($F57,$H57,$K57)*100,2))</f>
        <v>#REF!</v>
      </c>
      <c r="S57" s="24" t="e">
        <f>#REF!</f>
        <v>#REF!</v>
      </c>
      <c r="T57" s="24" t="e">
        <f>ROUND(S57*12,1)</f>
        <v>#REF!</v>
      </c>
      <c r="U57" s="24" t="e">
        <f>IF(T57=0,0,ROUND(T57/SUM($F57,$H57,$K57)*100,2))</f>
        <v>#REF!</v>
      </c>
      <c r="V57" s="24">
        <f>SUM(F57,H57,K57,N57)</f>
        <v>0</v>
      </c>
      <c r="W57" s="49">
        <f t="shared" si="27"/>
        <v>0</v>
      </c>
      <c r="X57" s="24">
        <v>1.262</v>
      </c>
      <c r="Y57" s="48">
        <f t="shared" si="1"/>
        <v>0</v>
      </c>
    </row>
    <row r="58" spans="1:25" s="39" customFormat="1" ht="19.5" customHeight="1" hidden="1">
      <c r="A58" s="37"/>
      <c r="B58" s="38" t="s">
        <v>79</v>
      </c>
      <c r="C58" s="38"/>
      <c r="D58" s="24"/>
      <c r="E58" s="24"/>
      <c r="F58" s="24">
        <f t="shared" si="22"/>
        <v>0</v>
      </c>
      <c r="G58" s="24"/>
      <c r="H58" s="24">
        <f t="shared" si="23"/>
        <v>0</v>
      </c>
      <c r="I58" s="24">
        <f>IF(H58=0,0,ROUND(H58/$F58*100,2))</f>
        <v>0</v>
      </c>
      <c r="J58" s="24"/>
      <c r="K58" s="24">
        <f t="shared" si="24"/>
        <v>0</v>
      </c>
      <c r="L58" s="24">
        <f>IF(K58=0,0,ROUND(K58/$F58*100,2))</f>
        <v>0</v>
      </c>
      <c r="M58" s="24"/>
      <c r="N58" s="24">
        <f t="shared" si="25"/>
        <v>0</v>
      </c>
      <c r="O58" s="24">
        <f>IF(N58=0,0,ROUND(N58/SUM($F58,$H58,$K58)*100,2))</f>
        <v>0</v>
      </c>
      <c r="P58" s="24" t="e">
        <f>#REF!</f>
        <v>#REF!</v>
      </c>
      <c r="Q58" s="24" t="e">
        <f>ROUND(P58*12,1)</f>
        <v>#REF!</v>
      </c>
      <c r="R58" s="24" t="e">
        <f>IF(Q58=0,0,ROUND(Q58/SUM($F58,$H58,$K58)*100,2))</f>
        <v>#REF!</v>
      </c>
      <c r="S58" s="24" t="e">
        <f>#REF!</f>
        <v>#REF!</v>
      </c>
      <c r="T58" s="24" t="e">
        <f>ROUND(S58*12,1)</f>
        <v>#REF!</v>
      </c>
      <c r="U58" s="24" t="e">
        <f>IF(T58=0,0,ROUND(T58/SUM($F58,$H58,$K58)*100,2))</f>
        <v>#REF!</v>
      </c>
      <c r="V58" s="24">
        <f>SUM(F58,H58,K58,N58)</f>
        <v>0</v>
      </c>
      <c r="W58" s="49">
        <f t="shared" si="27"/>
        <v>0</v>
      </c>
      <c r="X58" s="24">
        <v>1.262</v>
      </c>
      <c r="Y58" s="48">
        <f t="shared" si="1"/>
        <v>0</v>
      </c>
    </row>
    <row r="59" spans="1:25" s="4" customFormat="1" ht="36" customHeight="1" hidden="1">
      <c r="A59" s="46">
        <f>A55+1</f>
        <v>14</v>
      </c>
      <c r="B59" s="47" t="s">
        <v>91</v>
      </c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>
        <v>1.262</v>
      </c>
      <c r="Y59" s="48">
        <f t="shared" si="1"/>
        <v>0</v>
      </c>
    </row>
    <row r="60" spans="1:25" s="39" customFormat="1" ht="50.25" customHeight="1" hidden="1">
      <c r="A60" s="37"/>
      <c r="B60" s="38" t="s">
        <v>77</v>
      </c>
      <c r="C60" s="38"/>
      <c r="D60" s="24">
        <v>52</v>
      </c>
      <c r="E60" s="24">
        <v>131.099</v>
      </c>
      <c r="F60" s="24">
        <f aca="true" t="shared" si="30" ref="F60:F90">ROUND(E60*12,1)</f>
        <v>1573.2</v>
      </c>
      <c r="G60" s="24">
        <f>G61+G62</f>
        <v>0</v>
      </c>
      <c r="H60" s="24">
        <f aca="true" t="shared" si="31" ref="H60:H90">ROUND(G60*12,1)</f>
        <v>0</v>
      </c>
      <c r="I60" s="24">
        <f>IF(H60=0,0,ROUND(H60/$F60*100,2))</f>
        <v>0</v>
      </c>
      <c r="J60" s="24">
        <v>37.892</v>
      </c>
      <c r="K60" s="24">
        <f aca="true" t="shared" si="32" ref="K60:K90">ROUND(J60*12,1)</f>
        <v>454.7</v>
      </c>
      <c r="L60" s="24">
        <f>IF(K60=0,0,ROUND(K60/$F60*100,2))</f>
        <v>28.9</v>
      </c>
      <c r="M60" s="24">
        <v>67.733</v>
      </c>
      <c r="N60" s="24">
        <f aca="true" t="shared" si="33" ref="N60:N90">ROUND(M60*12,1)</f>
        <v>812.8</v>
      </c>
      <c r="O60" s="24">
        <f>IF(N60=0,0,ROUND(N60/SUM($F60,$H60,$K60)*100,2))</f>
        <v>40.08</v>
      </c>
      <c r="P60" s="24" t="e">
        <f aca="true" t="shared" si="34" ref="P60:U60">P61+P62</f>
        <v>#REF!</v>
      </c>
      <c r="Q60" s="24" t="e">
        <f t="shared" si="34"/>
        <v>#REF!</v>
      </c>
      <c r="R60" s="24" t="e">
        <f t="shared" si="34"/>
        <v>#REF!</v>
      </c>
      <c r="S60" s="24" t="e">
        <f t="shared" si="34"/>
        <v>#REF!</v>
      </c>
      <c r="T60" s="24" t="e">
        <f t="shared" si="34"/>
        <v>#REF!</v>
      </c>
      <c r="U60" s="24" t="e">
        <f t="shared" si="34"/>
        <v>#REF!</v>
      </c>
      <c r="V60" s="24">
        <f>SUM(F60,H60,K60,N60)</f>
        <v>2840.7</v>
      </c>
      <c r="W60" s="49">
        <f aca="true" t="shared" si="35" ref="W60:W90">V60*1.7</f>
        <v>4829.19</v>
      </c>
      <c r="X60" s="24">
        <v>1.262</v>
      </c>
      <c r="Y60" s="48">
        <f t="shared" si="1"/>
        <v>6094.4</v>
      </c>
    </row>
    <row r="61" spans="1:25" s="39" customFormat="1" ht="27" customHeight="1" hidden="1">
      <c r="A61" s="37"/>
      <c r="B61" s="38" t="s">
        <v>78</v>
      </c>
      <c r="C61" s="38"/>
      <c r="D61" s="24"/>
      <c r="E61" s="24"/>
      <c r="F61" s="24">
        <f t="shared" si="30"/>
        <v>0</v>
      </c>
      <c r="G61" s="24"/>
      <c r="H61" s="24">
        <f t="shared" si="31"/>
        <v>0</v>
      </c>
      <c r="I61" s="24">
        <f>IF(H61=0,0,ROUND(H61/$F61*100,2))</f>
        <v>0</v>
      </c>
      <c r="J61" s="24"/>
      <c r="K61" s="24">
        <f t="shared" si="32"/>
        <v>0</v>
      </c>
      <c r="L61" s="24">
        <f>IF(K61=0,0,ROUND(K61/$F61*100,2))</f>
        <v>0</v>
      </c>
      <c r="M61" s="24"/>
      <c r="N61" s="24">
        <f t="shared" si="33"/>
        <v>0</v>
      </c>
      <c r="O61" s="24">
        <f>IF(N61=0,0,ROUND(N61/SUM($F61,$H61,$K61)*100,2))</f>
        <v>0</v>
      </c>
      <c r="P61" s="24" t="e">
        <f>#REF!</f>
        <v>#REF!</v>
      </c>
      <c r="Q61" s="24" t="e">
        <f>ROUND(P61*12,1)</f>
        <v>#REF!</v>
      </c>
      <c r="R61" s="24" t="e">
        <f>IF(Q61=0,0,ROUND(Q61/SUM($F61,$H61,$K61)*100,2))</f>
        <v>#REF!</v>
      </c>
      <c r="S61" s="24" t="e">
        <f>#REF!</f>
        <v>#REF!</v>
      </c>
      <c r="T61" s="24" t="e">
        <f>ROUND(S61*12,1)</f>
        <v>#REF!</v>
      </c>
      <c r="U61" s="24" t="e">
        <f>IF(T61=0,0,ROUND(T61/SUM($F61,$H61,$K61)*100,2))</f>
        <v>#REF!</v>
      </c>
      <c r="V61" s="24">
        <f>SUM(F61,H61,K61,N61)</f>
        <v>0</v>
      </c>
      <c r="W61" s="49">
        <f t="shared" si="35"/>
        <v>0</v>
      </c>
      <c r="X61" s="24">
        <v>1.262</v>
      </c>
      <c r="Y61" s="48">
        <f t="shared" si="1"/>
        <v>0</v>
      </c>
    </row>
    <row r="62" spans="1:25" s="39" customFormat="1" ht="19.5" customHeight="1" hidden="1">
      <c r="A62" s="37"/>
      <c r="B62" s="38" t="s">
        <v>79</v>
      </c>
      <c r="C62" s="38"/>
      <c r="D62" s="24"/>
      <c r="E62" s="24"/>
      <c r="F62" s="24">
        <f t="shared" si="30"/>
        <v>0</v>
      </c>
      <c r="G62" s="24"/>
      <c r="H62" s="24">
        <f t="shared" si="31"/>
        <v>0</v>
      </c>
      <c r="I62" s="24">
        <f>IF(H62=0,0,ROUND(H62/$F62*100,2))</f>
        <v>0</v>
      </c>
      <c r="J62" s="24"/>
      <c r="K62" s="24">
        <f t="shared" si="32"/>
        <v>0</v>
      </c>
      <c r="L62" s="24">
        <f>IF(K62=0,0,ROUND(K62/$F62*100,2))</f>
        <v>0</v>
      </c>
      <c r="M62" s="24"/>
      <c r="N62" s="24">
        <f t="shared" si="33"/>
        <v>0</v>
      </c>
      <c r="O62" s="24">
        <f>IF(N62=0,0,ROUND(N62/SUM($F62,$H62,$K62)*100,2))</f>
        <v>0</v>
      </c>
      <c r="P62" s="24" t="e">
        <f>#REF!</f>
        <v>#REF!</v>
      </c>
      <c r="Q62" s="24" t="e">
        <f>ROUND(P62*12,1)</f>
        <v>#REF!</v>
      </c>
      <c r="R62" s="24" t="e">
        <f>IF(Q62=0,0,ROUND(Q62/SUM($F62,$H62,$K62)*100,2))</f>
        <v>#REF!</v>
      </c>
      <c r="S62" s="24" t="e">
        <f>#REF!</f>
        <v>#REF!</v>
      </c>
      <c r="T62" s="24" t="e">
        <f>ROUND(S62*12,1)</f>
        <v>#REF!</v>
      </c>
      <c r="U62" s="24" t="e">
        <f>IF(T62=0,0,ROUND(T62/SUM($F62,$H62,$K62)*100,2))</f>
        <v>#REF!</v>
      </c>
      <c r="V62" s="24">
        <f>SUM(F62,H62,K62,N62)</f>
        <v>0</v>
      </c>
      <c r="W62" s="49">
        <f t="shared" si="35"/>
        <v>0</v>
      </c>
      <c r="X62" s="24">
        <v>1.262</v>
      </c>
      <c r="Y62" s="48">
        <f t="shared" si="1"/>
        <v>0</v>
      </c>
    </row>
    <row r="63" spans="1:25" s="4" customFormat="1" ht="28.5" customHeight="1" hidden="1">
      <c r="A63" s="46">
        <f>A59+1</f>
        <v>15</v>
      </c>
      <c r="B63" s="47" t="s">
        <v>92</v>
      </c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>
        <v>1.262</v>
      </c>
      <c r="Y63" s="48">
        <f t="shared" si="1"/>
        <v>0</v>
      </c>
    </row>
    <row r="64" spans="1:25" s="39" customFormat="1" ht="50.25" customHeight="1" hidden="1">
      <c r="A64" s="37"/>
      <c r="B64" s="38" t="s">
        <v>77</v>
      </c>
      <c r="C64" s="38"/>
      <c r="D64" s="24">
        <v>15.5</v>
      </c>
      <c r="E64" s="24">
        <v>43.07</v>
      </c>
      <c r="F64" s="24">
        <f t="shared" si="30"/>
        <v>516.8</v>
      </c>
      <c r="G64" s="24">
        <f>1.275+2.3376</f>
        <v>3.6126</v>
      </c>
      <c r="H64" s="24">
        <f t="shared" si="31"/>
        <v>43.4</v>
      </c>
      <c r="I64" s="24">
        <f>IF(H64=0,0,ROUND(H64/$F64*100,2))</f>
        <v>8.4</v>
      </c>
      <c r="J64" s="24"/>
      <c r="K64" s="24">
        <f t="shared" si="32"/>
        <v>0</v>
      </c>
      <c r="L64" s="24">
        <f>IF(K64=0,0,ROUND(K64/$F64*100,2))</f>
        <v>0</v>
      </c>
      <c r="M64" s="24">
        <v>27.0772</v>
      </c>
      <c r="N64" s="24">
        <f t="shared" si="33"/>
        <v>324.9</v>
      </c>
      <c r="O64" s="24">
        <f>IF(N64=0,0,ROUND(N64/SUM($F64,$H64,$K64)*100,2))</f>
        <v>58</v>
      </c>
      <c r="P64" s="24" t="e">
        <f aca="true" t="shared" si="36" ref="P64:U64">P65+P66</f>
        <v>#REF!</v>
      </c>
      <c r="Q64" s="24" t="e">
        <f t="shared" si="36"/>
        <v>#REF!</v>
      </c>
      <c r="R64" s="24" t="e">
        <f t="shared" si="36"/>
        <v>#REF!</v>
      </c>
      <c r="S64" s="24" t="e">
        <f t="shared" si="36"/>
        <v>#REF!</v>
      </c>
      <c r="T64" s="24" t="e">
        <f t="shared" si="36"/>
        <v>#REF!</v>
      </c>
      <c r="U64" s="24" t="e">
        <f t="shared" si="36"/>
        <v>#REF!</v>
      </c>
      <c r="V64" s="24">
        <f>SUM(F64,H64,K64,N64)</f>
        <v>885.0999999999999</v>
      </c>
      <c r="W64" s="49">
        <f t="shared" si="35"/>
        <v>1504.6699999999998</v>
      </c>
      <c r="X64" s="24">
        <v>1.262</v>
      </c>
      <c r="Y64" s="48">
        <f t="shared" si="1"/>
        <v>1898.9</v>
      </c>
    </row>
    <row r="65" spans="1:25" s="39" customFormat="1" ht="27" customHeight="1" hidden="1">
      <c r="A65" s="37"/>
      <c r="B65" s="38" t="s">
        <v>78</v>
      </c>
      <c r="C65" s="24">
        <v>70</v>
      </c>
      <c r="D65" s="24"/>
      <c r="E65" s="24"/>
      <c r="F65" s="24">
        <f t="shared" si="30"/>
        <v>0</v>
      </c>
      <c r="G65" s="24"/>
      <c r="H65" s="24">
        <f t="shared" si="31"/>
        <v>0</v>
      </c>
      <c r="I65" s="24">
        <f>IF(H65=0,0,ROUND(H65/$F65*100,2))</f>
        <v>0</v>
      </c>
      <c r="J65" s="24"/>
      <c r="K65" s="24">
        <f t="shared" si="32"/>
        <v>0</v>
      </c>
      <c r="L65" s="24">
        <f>IF(K65=0,0,ROUND(K65/$F65*100,2))</f>
        <v>0</v>
      </c>
      <c r="M65" s="24"/>
      <c r="N65" s="24">
        <f t="shared" si="33"/>
        <v>0</v>
      </c>
      <c r="O65" s="24">
        <f>IF(N65=0,0,ROUND(N65/SUM($F65,$H65,$K65)*100,2))</f>
        <v>0</v>
      </c>
      <c r="P65" s="24" t="e">
        <f>#REF!</f>
        <v>#REF!</v>
      </c>
      <c r="Q65" s="24" t="e">
        <f>ROUND(P65*12,1)</f>
        <v>#REF!</v>
      </c>
      <c r="R65" s="24" t="e">
        <f>IF(Q65=0,0,ROUND(Q65/SUM($F65,$H65,$K65)*100,2))</f>
        <v>#REF!</v>
      </c>
      <c r="S65" s="24" t="e">
        <f>#REF!</f>
        <v>#REF!</v>
      </c>
      <c r="T65" s="24" t="e">
        <f>ROUND(S65*12,1)</f>
        <v>#REF!</v>
      </c>
      <c r="U65" s="24" t="e">
        <f>IF(T65=0,0,ROUND(T65/SUM($F65,$H65,$K65)*100,2))</f>
        <v>#REF!</v>
      </c>
      <c r="V65" s="24">
        <f>SUM(F65,H65,K65,N65)</f>
        <v>0</v>
      </c>
      <c r="W65" s="49">
        <f t="shared" si="35"/>
        <v>0</v>
      </c>
      <c r="X65" s="24">
        <v>1.262</v>
      </c>
      <c r="Y65" s="48">
        <f t="shared" si="1"/>
        <v>0</v>
      </c>
    </row>
    <row r="66" spans="1:25" s="39" customFormat="1" ht="19.5" customHeight="1" hidden="1">
      <c r="A66" s="37"/>
      <c r="B66" s="38" t="s">
        <v>79</v>
      </c>
      <c r="C66" s="24">
        <v>20</v>
      </c>
      <c r="D66" s="24"/>
      <c r="E66" s="24"/>
      <c r="F66" s="24">
        <f t="shared" si="30"/>
        <v>0</v>
      </c>
      <c r="G66" s="24"/>
      <c r="H66" s="24">
        <f t="shared" si="31"/>
        <v>0</v>
      </c>
      <c r="I66" s="24">
        <f>IF(H66=0,0,ROUND(H66/$F66*100,2))</f>
        <v>0</v>
      </c>
      <c r="J66" s="24"/>
      <c r="K66" s="24">
        <f t="shared" si="32"/>
        <v>0</v>
      </c>
      <c r="L66" s="24">
        <f>IF(K66=0,0,ROUND(K66/$F66*100,2))</f>
        <v>0</v>
      </c>
      <c r="M66" s="24"/>
      <c r="N66" s="24">
        <f t="shared" si="33"/>
        <v>0</v>
      </c>
      <c r="O66" s="24">
        <f>IF(N66=0,0,ROUND(N66/SUM($F66,$H66,$K66)*100,2))</f>
        <v>0</v>
      </c>
      <c r="P66" s="24" t="e">
        <f>#REF!</f>
        <v>#REF!</v>
      </c>
      <c r="Q66" s="24" t="e">
        <f>ROUND(P66*12,1)</f>
        <v>#REF!</v>
      </c>
      <c r="R66" s="24" t="e">
        <f>IF(Q66=0,0,ROUND(Q66/SUM($F66,$H66,$K66)*100,2))</f>
        <v>#REF!</v>
      </c>
      <c r="S66" s="24" t="e">
        <f>#REF!</f>
        <v>#REF!</v>
      </c>
      <c r="T66" s="24" t="e">
        <f>ROUND(S66*12,1)</f>
        <v>#REF!</v>
      </c>
      <c r="U66" s="24" t="e">
        <f>IF(T66=0,0,ROUND(T66/SUM($F66,$H66,$K66)*100,2))</f>
        <v>#REF!</v>
      </c>
      <c r="V66" s="24">
        <f>SUM(F66,H66,K66,N66)</f>
        <v>0</v>
      </c>
      <c r="W66" s="49">
        <f t="shared" si="35"/>
        <v>0</v>
      </c>
      <c r="X66" s="24">
        <v>1.262</v>
      </c>
      <c r="Y66" s="48">
        <f t="shared" si="1"/>
        <v>0</v>
      </c>
    </row>
    <row r="67" spans="1:25" s="4" customFormat="1" ht="28.5" customHeight="1" hidden="1">
      <c r="A67" s="46">
        <f>A63+1</f>
        <v>16</v>
      </c>
      <c r="B67" s="47" t="s">
        <v>93</v>
      </c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>
        <v>1.262</v>
      </c>
      <c r="Y67" s="48">
        <f t="shared" si="1"/>
        <v>0</v>
      </c>
    </row>
    <row r="68" spans="1:25" s="39" customFormat="1" ht="50.25" customHeight="1" hidden="1">
      <c r="A68" s="37"/>
      <c r="B68" s="38" t="s">
        <v>77</v>
      </c>
      <c r="C68" s="38"/>
      <c r="D68" s="24">
        <v>15.5</v>
      </c>
      <c r="E68" s="24">
        <v>43.07</v>
      </c>
      <c r="F68" s="24">
        <f t="shared" si="30"/>
        <v>516.8</v>
      </c>
      <c r="G68" s="24">
        <f>1.275+2.3376</f>
        <v>3.6126</v>
      </c>
      <c r="H68" s="24">
        <f t="shared" si="31"/>
        <v>43.4</v>
      </c>
      <c r="I68" s="24">
        <f>IF(H68=0,0,ROUND(H68/$F68*100,2))</f>
        <v>8.4</v>
      </c>
      <c r="J68" s="24"/>
      <c r="K68" s="24">
        <f t="shared" si="32"/>
        <v>0</v>
      </c>
      <c r="L68" s="24">
        <f>IF(K68=0,0,ROUND(K68/$F68*100,2))</f>
        <v>0</v>
      </c>
      <c r="M68" s="24">
        <v>27.0772</v>
      </c>
      <c r="N68" s="24">
        <f t="shared" si="33"/>
        <v>324.9</v>
      </c>
      <c r="O68" s="24">
        <f>IF(N68=0,0,ROUND(N68/SUM($F68,$H68,$K68)*100,2))</f>
        <v>58</v>
      </c>
      <c r="P68" s="24" t="e">
        <f aca="true" t="shared" si="37" ref="P68:U68">P69+P70</f>
        <v>#REF!</v>
      </c>
      <c r="Q68" s="24" t="e">
        <f t="shared" si="37"/>
        <v>#REF!</v>
      </c>
      <c r="R68" s="24" t="e">
        <f t="shared" si="37"/>
        <v>#REF!</v>
      </c>
      <c r="S68" s="24" t="e">
        <f t="shared" si="37"/>
        <v>#REF!</v>
      </c>
      <c r="T68" s="24" t="e">
        <f t="shared" si="37"/>
        <v>#REF!</v>
      </c>
      <c r="U68" s="24" t="e">
        <f t="shared" si="37"/>
        <v>#REF!</v>
      </c>
      <c r="V68" s="24">
        <f>SUM(F68,H68,K68,N68)</f>
        <v>885.0999999999999</v>
      </c>
      <c r="W68" s="49">
        <f t="shared" si="35"/>
        <v>1504.6699999999998</v>
      </c>
      <c r="X68" s="24">
        <v>1.262</v>
      </c>
      <c r="Y68" s="48">
        <f t="shared" si="1"/>
        <v>1898.9</v>
      </c>
    </row>
    <row r="69" spans="1:25" s="39" customFormat="1" ht="27" customHeight="1" hidden="1">
      <c r="A69" s="37"/>
      <c r="B69" s="38" t="s">
        <v>78</v>
      </c>
      <c r="C69" s="38"/>
      <c r="D69" s="24"/>
      <c r="E69" s="24"/>
      <c r="F69" s="24">
        <f t="shared" si="30"/>
        <v>0</v>
      </c>
      <c r="G69" s="24"/>
      <c r="H69" s="24">
        <f t="shared" si="31"/>
        <v>0</v>
      </c>
      <c r="I69" s="24">
        <f>IF(H69=0,0,ROUND(H69/$F69*100,2))</f>
        <v>0</v>
      </c>
      <c r="J69" s="24"/>
      <c r="K69" s="24">
        <f t="shared" si="32"/>
        <v>0</v>
      </c>
      <c r="L69" s="24">
        <f>IF(K69=0,0,ROUND(K69/$F69*100,2))</f>
        <v>0</v>
      </c>
      <c r="M69" s="24"/>
      <c r="N69" s="24">
        <f t="shared" si="33"/>
        <v>0</v>
      </c>
      <c r="O69" s="24">
        <f>IF(N69=0,0,ROUND(N69/SUM($F69,$H69,$K69)*100,2))</f>
        <v>0</v>
      </c>
      <c r="P69" s="24" t="e">
        <f>#REF!</f>
        <v>#REF!</v>
      </c>
      <c r="Q69" s="24" t="e">
        <f>ROUND(P69*12,1)</f>
        <v>#REF!</v>
      </c>
      <c r="R69" s="24" t="e">
        <f>IF(Q69=0,0,ROUND(Q69/SUM($F69,$H69,$K69)*100,2))</f>
        <v>#REF!</v>
      </c>
      <c r="S69" s="24" t="e">
        <f>#REF!</f>
        <v>#REF!</v>
      </c>
      <c r="T69" s="24" t="e">
        <f>ROUND(S69*12,1)</f>
        <v>#REF!</v>
      </c>
      <c r="U69" s="24" t="e">
        <f>IF(T69=0,0,ROUND(T69/SUM($F69,$H69,$K69)*100,2))</f>
        <v>#REF!</v>
      </c>
      <c r="V69" s="24">
        <f>SUM(F69,H69,K69,N69)</f>
        <v>0</v>
      </c>
      <c r="W69" s="49">
        <f t="shared" si="35"/>
        <v>0</v>
      </c>
      <c r="X69" s="24">
        <v>1.262</v>
      </c>
      <c r="Y69" s="48">
        <f t="shared" si="1"/>
        <v>0</v>
      </c>
    </row>
    <row r="70" spans="1:25" s="39" customFormat="1" ht="19.5" customHeight="1" hidden="1">
      <c r="A70" s="37"/>
      <c r="B70" s="38" t="s">
        <v>79</v>
      </c>
      <c r="C70" s="38"/>
      <c r="D70" s="24"/>
      <c r="E70" s="24"/>
      <c r="F70" s="24">
        <f t="shared" si="30"/>
        <v>0</v>
      </c>
      <c r="G70" s="24"/>
      <c r="H70" s="24">
        <f t="shared" si="31"/>
        <v>0</v>
      </c>
      <c r="I70" s="24">
        <f>IF(H70=0,0,ROUND(H70/$F70*100,2))</f>
        <v>0</v>
      </c>
      <c r="J70" s="24"/>
      <c r="K70" s="24">
        <f t="shared" si="32"/>
        <v>0</v>
      </c>
      <c r="L70" s="24">
        <f>IF(K70=0,0,ROUND(K70/$F70*100,2))</f>
        <v>0</v>
      </c>
      <c r="M70" s="24"/>
      <c r="N70" s="24">
        <f t="shared" si="33"/>
        <v>0</v>
      </c>
      <c r="O70" s="24">
        <f>IF(N70=0,0,ROUND(N70/SUM($F70,$H70,$K70)*100,2))</f>
        <v>0</v>
      </c>
      <c r="P70" s="24" t="e">
        <f>#REF!</f>
        <v>#REF!</v>
      </c>
      <c r="Q70" s="24" t="e">
        <f>ROUND(P70*12,1)</f>
        <v>#REF!</v>
      </c>
      <c r="R70" s="24" t="e">
        <f>IF(Q70=0,0,ROUND(Q70/SUM($F70,$H70,$K70)*100,2))</f>
        <v>#REF!</v>
      </c>
      <c r="S70" s="24" t="e">
        <f>#REF!</f>
        <v>#REF!</v>
      </c>
      <c r="T70" s="24" t="e">
        <f>ROUND(S70*12,1)</f>
        <v>#REF!</v>
      </c>
      <c r="U70" s="24" t="e">
        <f>IF(T70=0,0,ROUND(T70/SUM($F70,$H70,$K70)*100,2))</f>
        <v>#REF!</v>
      </c>
      <c r="V70" s="24">
        <f>SUM(F70,H70,K70,N70)</f>
        <v>0</v>
      </c>
      <c r="W70" s="49">
        <f t="shared" si="35"/>
        <v>0</v>
      </c>
      <c r="X70" s="24">
        <v>1.262</v>
      </c>
      <c r="Y70" s="48">
        <f t="shared" si="1"/>
        <v>0</v>
      </c>
    </row>
    <row r="71" spans="1:25" s="4" customFormat="1" ht="28.5" customHeight="1" hidden="1">
      <c r="A71" s="46">
        <f>A67+1</f>
        <v>17</v>
      </c>
      <c r="B71" s="47" t="s">
        <v>94</v>
      </c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>
        <v>1.262</v>
      </c>
      <c r="Y71" s="48">
        <f aca="true" t="shared" si="38" ref="Y71:Y86">ROUND(W71*X71,1)</f>
        <v>0</v>
      </c>
    </row>
    <row r="72" spans="1:25" s="39" customFormat="1" ht="50.25" customHeight="1" hidden="1">
      <c r="A72" s="37"/>
      <c r="B72" s="38" t="s">
        <v>77</v>
      </c>
      <c r="C72" s="38"/>
      <c r="D72" s="24">
        <v>15.5</v>
      </c>
      <c r="E72" s="24">
        <v>43.07</v>
      </c>
      <c r="F72" s="24">
        <f t="shared" si="30"/>
        <v>516.8</v>
      </c>
      <c r="G72" s="24">
        <f>1.275+2.3376</f>
        <v>3.6126</v>
      </c>
      <c r="H72" s="24">
        <f t="shared" si="31"/>
        <v>43.4</v>
      </c>
      <c r="I72" s="24">
        <f>IF(H72=0,0,ROUND(H72/$F72*100,2))</f>
        <v>8.4</v>
      </c>
      <c r="J72" s="24"/>
      <c r="K72" s="24">
        <f t="shared" si="32"/>
        <v>0</v>
      </c>
      <c r="L72" s="24">
        <f>IF(K72=0,0,ROUND(K72/$F72*100,2))</f>
        <v>0</v>
      </c>
      <c r="M72" s="24">
        <v>27.0772</v>
      </c>
      <c r="N72" s="24">
        <f t="shared" si="33"/>
        <v>324.9</v>
      </c>
      <c r="O72" s="24">
        <f>IF(N72=0,0,ROUND(N72/SUM($F72,$H72,$K72)*100,2))</f>
        <v>58</v>
      </c>
      <c r="P72" s="24" t="e">
        <f aca="true" t="shared" si="39" ref="P72:U72">P73+P74</f>
        <v>#REF!</v>
      </c>
      <c r="Q72" s="24" t="e">
        <f t="shared" si="39"/>
        <v>#REF!</v>
      </c>
      <c r="R72" s="24" t="e">
        <f t="shared" si="39"/>
        <v>#REF!</v>
      </c>
      <c r="S72" s="24" t="e">
        <f t="shared" si="39"/>
        <v>#REF!</v>
      </c>
      <c r="T72" s="24" t="e">
        <f t="shared" si="39"/>
        <v>#REF!</v>
      </c>
      <c r="U72" s="24" t="e">
        <f t="shared" si="39"/>
        <v>#REF!</v>
      </c>
      <c r="V72" s="24">
        <f>SUM(F72,H72,K72,N72)</f>
        <v>885.0999999999999</v>
      </c>
      <c r="W72" s="49">
        <f t="shared" si="35"/>
        <v>1504.6699999999998</v>
      </c>
      <c r="X72" s="24">
        <v>1.262</v>
      </c>
      <c r="Y72" s="48">
        <f t="shared" si="38"/>
        <v>1898.9</v>
      </c>
    </row>
    <row r="73" spans="1:25" s="39" customFormat="1" ht="27" customHeight="1" hidden="1">
      <c r="A73" s="37"/>
      <c r="B73" s="38" t="s">
        <v>78</v>
      </c>
      <c r="C73" s="38"/>
      <c r="D73" s="24"/>
      <c r="E73" s="24"/>
      <c r="F73" s="24">
        <f t="shared" si="30"/>
        <v>0</v>
      </c>
      <c r="G73" s="24"/>
      <c r="H73" s="24">
        <f t="shared" si="31"/>
        <v>0</v>
      </c>
      <c r="I73" s="24">
        <f>IF(H73=0,0,ROUND(H73/$F73*100,2))</f>
        <v>0</v>
      </c>
      <c r="J73" s="24"/>
      <c r="K73" s="24">
        <f t="shared" si="32"/>
        <v>0</v>
      </c>
      <c r="L73" s="24">
        <f>IF(K73=0,0,ROUND(K73/$F73*100,2))</f>
        <v>0</v>
      </c>
      <c r="M73" s="24"/>
      <c r="N73" s="24">
        <f t="shared" si="33"/>
        <v>0</v>
      </c>
      <c r="O73" s="24">
        <f>IF(N73=0,0,ROUND(N73/SUM($F73,$H73,$K73)*100,2))</f>
        <v>0</v>
      </c>
      <c r="P73" s="24" t="e">
        <f>#REF!</f>
        <v>#REF!</v>
      </c>
      <c r="Q73" s="24" t="e">
        <f>ROUND(P73*12,1)</f>
        <v>#REF!</v>
      </c>
      <c r="R73" s="24" t="e">
        <f>IF(Q73=0,0,ROUND(Q73/SUM($F73,$H73,$K73)*100,2))</f>
        <v>#REF!</v>
      </c>
      <c r="S73" s="24" t="e">
        <f>#REF!</f>
        <v>#REF!</v>
      </c>
      <c r="T73" s="24" t="e">
        <f>ROUND(S73*12,1)</f>
        <v>#REF!</v>
      </c>
      <c r="U73" s="24" t="e">
        <f>IF(T73=0,0,ROUND(T73/SUM($F73,$H73,$K73)*100,2))</f>
        <v>#REF!</v>
      </c>
      <c r="V73" s="24">
        <f>SUM(F73,H73,K73,N73)</f>
        <v>0</v>
      </c>
      <c r="W73" s="49">
        <f t="shared" si="35"/>
        <v>0</v>
      </c>
      <c r="X73" s="24">
        <v>1.262</v>
      </c>
      <c r="Y73" s="48">
        <f t="shared" si="38"/>
        <v>0</v>
      </c>
    </row>
    <row r="74" spans="1:25" s="39" customFormat="1" ht="19.5" customHeight="1" hidden="1">
      <c r="A74" s="37"/>
      <c r="B74" s="38" t="s">
        <v>79</v>
      </c>
      <c r="C74" s="38"/>
      <c r="D74" s="24"/>
      <c r="E74" s="24"/>
      <c r="F74" s="24">
        <f t="shared" si="30"/>
        <v>0</v>
      </c>
      <c r="G74" s="24"/>
      <c r="H74" s="24">
        <f t="shared" si="31"/>
        <v>0</v>
      </c>
      <c r="I74" s="24">
        <f>IF(H74=0,0,ROUND(H74/$F74*100,2))</f>
        <v>0</v>
      </c>
      <c r="J74" s="24"/>
      <c r="K74" s="24">
        <f t="shared" si="32"/>
        <v>0</v>
      </c>
      <c r="L74" s="24">
        <f>IF(K74=0,0,ROUND(K74/$F74*100,2))</f>
        <v>0</v>
      </c>
      <c r="M74" s="24"/>
      <c r="N74" s="24">
        <f t="shared" si="33"/>
        <v>0</v>
      </c>
      <c r="O74" s="24">
        <f>IF(N74=0,0,ROUND(N74/SUM($F74,$H74,$K74)*100,2))</f>
        <v>0</v>
      </c>
      <c r="P74" s="24" t="e">
        <f>#REF!</f>
        <v>#REF!</v>
      </c>
      <c r="Q74" s="24" t="e">
        <f>ROUND(P74*12,1)</f>
        <v>#REF!</v>
      </c>
      <c r="R74" s="24" t="e">
        <f>IF(Q74=0,0,ROUND(Q74/SUM($F74,$H74,$K74)*100,2))</f>
        <v>#REF!</v>
      </c>
      <c r="S74" s="24" t="e">
        <f>#REF!</f>
        <v>#REF!</v>
      </c>
      <c r="T74" s="24" t="e">
        <f>ROUND(S74*12,1)</f>
        <v>#REF!</v>
      </c>
      <c r="U74" s="24" t="e">
        <f>IF(T74=0,0,ROUND(T74/SUM($F74,$H74,$K74)*100,2))</f>
        <v>#REF!</v>
      </c>
      <c r="V74" s="24">
        <f>SUM(F74,H74,K74,N74)</f>
        <v>0</v>
      </c>
      <c r="W74" s="49">
        <f t="shared" si="35"/>
        <v>0</v>
      </c>
      <c r="X74" s="24">
        <v>1.262</v>
      </c>
      <c r="Y74" s="48">
        <f t="shared" si="38"/>
        <v>0</v>
      </c>
    </row>
    <row r="75" spans="1:25" s="4" customFormat="1" ht="28.5" customHeight="1" hidden="1">
      <c r="A75" s="46">
        <f>A71+1</f>
        <v>18</v>
      </c>
      <c r="B75" s="47" t="s">
        <v>95</v>
      </c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>
        <v>1.262</v>
      </c>
      <c r="Y75" s="48">
        <f t="shared" si="38"/>
        <v>0</v>
      </c>
    </row>
    <row r="76" spans="1:25" s="39" customFormat="1" ht="50.25" customHeight="1" hidden="1">
      <c r="A76" s="37"/>
      <c r="B76" s="38" t="s">
        <v>77</v>
      </c>
      <c r="C76" s="38"/>
      <c r="D76" s="24">
        <v>15.5</v>
      </c>
      <c r="E76" s="24">
        <v>43.07</v>
      </c>
      <c r="F76" s="24">
        <f t="shared" si="30"/>
        <v>516.8</v>
      </c>
      <c r="G76" s="24">
        <f>1.275+2.3376</f>
        <v>3.6126</v>
      </c>
      <c r="H76" s="24">
        <f t="shared" si="31"/>
        <v>43.4</v>
      </c>
      <c r="I76" s="24">
        <f>IF(H76=0,0,ROUND(H76/$F76*100,2))</f>
        <v>8.4</v>
      </c>
      <c r="J76" s="24"/>
      <c r="K76" s="24">
        <f t="shared" si="32"/>
        <v>0</v>
      </c>
      <c r="L76" s="24">
        <f>IF(K76=0,0,ROUND(K76/$F76*100,2))</f>
        <v>0</v>
      </c>
      <c r="M76" s="24">
        <v>27.0772</v>
      </c>
      <c r="N76" s="24">
        <f t="shared" si="33"/>
        <v>324.9</v>
      </c>
      <c r="O76" s="24">
        <f>IF(N76=0,0,ROUND(N76/SUM($F76,$H76,$K76)*100,2))</f>
        <v>58</v>
      </c>
      <c r="P76" s="24" t="e">
        <f aca="true" t="shared" si="40" ref="P76:U76">P77+P78</f>
        <v>#REF!</v>
      </c>
      <c r="Q76" s="24" t="e">
        <f t="shared" si="40"/>
        <v>#REF!</v>
      </c>
      <c r="R76" s="24" t="e">
        <f t="shared" si="40"/>
        <v>#REF!</v>
      </c>
      <c r="S76" s="24" t="e">
        <f t="shared" si="40"/>
        <v>#REF!</v>
      </c>
      <c r="T76" s="24" t="e">
        <f t="shared" si="40"/>
        <v>#REF!</v>
      </c>
      <c r="U76" s="24" t="e">
        <f t="shared" si="40"/>
        <v>#REF!</v>
      </c>
      <c r="V76" s="24">
        <f>SUM(F76,H76,K76,N76)</f>
        <v>885.0999999999999</v>
      </c>
      <c r="W76" s="49">
        <f t="shared" si="35"/>
        <v>1504.6699999999998</v>
      </c>
      <c r="X76" s="24">
        <v>1.262</v>
      </c>
      <c r="Y76" s="48">
        <f t="shared" si="38"/>
        <v>1898.9</v>
      </c>
    </row>
    <row r="77" spans="1:25" s="39" customFormat="1" ht="27" customHeight="1" hidden="1">
      <c r="A77" s="37"/>
      <c r="B77" s="38" t="s">
        <v>78</v>
      </c>
      <c r="C77" s="38"/>
      <c r="D77" s="24"/>
      <c r="E77" s="24"/>
      <c r="F77" s="24">
        <f t="shared" si="30"/>
        <v>0</v>
      </c>
      <c r="G77" s="24"/>
      <c r="H77" s="24">
        <f t="shared" si="31"/>
        <v>0</v>
      </c>
      <c r="I77" s="24">
        <f>IF(H77=0,0,ROUND(H77/$F77*100,2))</f>
        <v>0</v>
      </c>
      <c r="J77" s="24"/>
      <c r="K77" s="24">
        <f t="shared" si="32"/>
        <v>0</v>
      </c>
      <c r="L77" s="24">
        <f>IF(K77=0,0,ROUND(K77/$F77*100,2))</f>
        <v>0</v>
      </c>
      <c r="M77" s="24"/>
      <c r="N77" s="24">
        <f t="shared" si="33"/>
        <v>0</v>
      </c>
      <c r="O77" s="24">
        <f>IF(N77=0,0,ROUND(N77/SUM($F77,$H77,$K77)*100,2))</f>
        <v>0</v>
      </c>
      <c r="P77" s="24" t="e">
        <f>#REF!</f>
        <v>#REF!</v>
      </c>
      <c r="Q77" s="24" t="e">
        <f>ROUND(P77*12,1)</f>
        <v>#REF!</v>
      </c>
      <c r="R77" s="24" t="e">
        <f>IF(Q77=0,0,ROUND(Q77/SUM($F77,$H77,$K77)*100,2))</f>
        <v>#REF!</v>
      </c>
      <c r="S77" s="24" t="e">
        <f>#REF!</f>
        <v>#REF!</v>
      </c>
      <c r="T77" s="24" t="e">
        <f>ROUND(S77*12,1)</f>
        <v>#REF!</v>
      </c>
      <c r="U77" s="24" t="e">
        <f>IF(T77=0,0,ROUND(T77/SUM($F77,$H77,$K77)*100,2))</f>
        <v>#REF!</v>
      </c>
      <c r="V77" s="24">
        <f>SUM(F77,H77,K77,N77)</f>
        <v>0</v>
      </c>
      <c r="W77" s="49">
        <f t="shared" si="35"/>
        <v>0</v>
      </c>
      <c r="X77" s="24">
        <v>1.262</v>
      </c>
      <c r="Y77" s="48">
        <f t="shared" si="38"/>
        <v>0</v>
      </c>
    </row>
    <row r="78" spans="1:25" s="39" customFormat="1" ht="19.5" customHeight="1" hidden="1">
      <c r="A78" s="37"/>
      <c r="B78" s="38" t="s">
        <v>79</v>
      </c>
      <c r="C78" s="38"/>
      <c r="D78" s="24"/>
      <c r="E78" s="24"/>
      <c r="F78" s="24">
        <f t="shared" si="30"/>
        <v>0</v>
      </c>
      <c r="G78" s="24"/>
      <c r="H78" s="24">
        <f t="shared" si="31"/>
        <v>0</v>
      </c>
      <c r="I78" s="24">
        <f>IF(H78=0,0,ROUND(H78/$F78*100,2))</f>
        <v>0</v>
      </c>
      <c r="J78" s="24"/>
      <c r="K78" s="24">
        <f t="shared" si="32"/>
        <v>0</v>
      </c>
      <c r="L78" s="24">
        <f>IF(K78=0,0,ROUND(K78/$F78*100,2))</f>
        <v>0</v>
      </c>
      <c r="M78" s="24"/>
      <c r="N78" s="24">
        <f t="shared" si="33"/>
        <v>0</v>
      </c>
      <c r="O78" s="24">
        <f>IF(N78=0,0,ROUND(N78/SUM($F78,$H78,$K78)*100,2))</f>
        <v>0</v>
      </c>
      <c r="P78" s="24" t="e">
        <f>#REF!</f>
        <v>#REF!</v>
      </c>
      <c r="Q78" s="24" t="e">
        <f>ROUND(P78*12,1)</f>
        <v>#REF!</v>
      </c>
      <c r="R78" s="24" t="e">
        <f>IF(Q78=0,0,ROUND(Q78/SUM($F78,$H78,$K78)*100,2))</f>
        <v>#REF!</v>
      </c>
      <c r="S78" s="24" t="e">
        <f>#REF!</f>
        <v>#REF!</v>
      </c>
      <c r="T78" s="24" t="e">
        <f>ROUND(S78*12,1)</f>
        <v>#REF!</v>
      </c>
      <c r="U78" s="24" t="e">
        <f>IF(T78=0,0,ROUND(T78/SUM($F78,$H78,$K78)*100,2))</f>
        <v>#REF!</v>
      </c>
      <c r="V78" s="24">
        <f>SUM(F78,H78,K78,N78)</f>
        <v>0</v>
      </c>
      <c r="W78" s="49">
        <f t="shared" si="35"/>
        <v>0</v>
      </c>
      <c r="X78" s="24">
        <v>1.262</v>
      </c>
      <c r="Y78" s="48">
        <f t="shared" si="38"/>
        <v>0</v>
      </c>
    </row>
    <row r="79" spans="1:25" s="4" customFormat="1" ht="28.5" customHeight="1" hidden="1">
      <c r="A79" s="46">
        <f>A75+1</f>
        <v>19</v>
      </c>
      <c r="B79" s="47" t="s">
        <v>96</v>
      </c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>
        <v>1.262</v>
      </c>
      <c r="Y79" s="48">
        <f t="shared" si="38"/>
        <v>0</v>
      </c>
    </row>
    <row r="80" spans="1:25" s="39" customFormat="1" ht="50.25" customHeight="1" hidden="1">
      <c r="A80" s="37"/>
      <c r="B80" s="38" t="s">
        <v>77</v>
      </c>
      <c r="C80" s="38"/>
      <c r="D80" s="24">
        <v>15.5</v>
      </c>
      <c r="E80" s="24">
        <v>43.07</v>
      </c>
      <c r="F80" s="24">
        <f t="shared" si="30"/>
        <v>516.8</v>
      </c>
      <c r="G80" s="24">
        <f>1.275+2.3376</f>
        <v>3.6126</v>
      </c>
      <c r="H80" s="24">
        <f t="shared" si="31"/>
        <v>43.4</v>
      </c>
      <c r="I80" s="24">
        <f>IF(H80=0,0,ROUND(H80/$F80*100,2))</f>
        <v>8.4</v>
      </c>
      <c r="J80" s="24"/>
      <c r="K80" s="24">
        <f t="shared" si="32"/>
        <v>0</v>
      </c>
      <c r="L80" s="24">
        <f>IF(K80=0,0,ROUND(K80/$F80*100,2))</f>
        <v>0</v>
      </c>
      <c r="M80" s="24">
        <v>27.0772</v>
      </c>
      <c r="N80" s="24">
        <f t="shared" si="33"/>
        <v>324.9</v>
      </c>
      <c r="O80" s="24">
        <f>IF(N80=0,0,ROUND(N80/SUM($F80,$H80,$K80)*100,2))</f>
        <v>58</v>
      </c>
      <c r="P80" s="24" t="e">
        <f aca="true" t="shared" si="41" ref="P80:U80">P81+P82</f>
        <v>#REF!</v>
      </c>
      <c r="Q80" s="24" t="e">
        <f t="shared" si="41"/>
        <v>#REF!</v>
      </c>
      <c r="R80" s="24" t="e">
        <f t="shared" si="41"/>
        <v>#REF!</v>
      </c>
      <c r="S80" s="24" t="e">
        <f t="shared" si="41"/>
        <v>#REF!</v>
      </c>
      <c r="T80" s="24" t="e">
        <f t="shared" si="41"/>
        <v>#REF!</v>
      </c>
      <c r="U80" s="24" t="e">
        <f t="shared" si="41"/>
        <v>#REF!</v>
      </c>
      <c r="V80" s="24">
        <f>SUM(F80,H80,K80,N80)</f>
        <v>885.0999999999999</v>
      </c>
      <c r="W80" s="49">
        <f t="shared" si="35"/>
        <v>1504.6699999999998</v>
      </c>
      <c r="X80" s="24">
        <v>1.262</v>
      </c>
      <c r="Y80" s="48">
        <f t="shared" si="38"/>
        <v>1898.9</v>
      </c>
    </row>
    <row r="81" spans="1:25" s="39" customFormat="1" ht="27" customHeight="1" hidden="1">
      <c r="A81" s="37"/>
      <c r="B81" s="38" t="s">
        <v>78</v>
      </c>
      <c r="C81" s="38"/>
      <c r="D81" s="24"/>
      <c r="E81" s="24"/>
      <c r="F81" s="24">
        <f t="shared" si="30"/>
        <v>0</v>
      </c>
      <c r="G81" s="24"/>
      <c r="H81" s="24">
        <f t="shared" si="31"/>
        <v>0</v>
      </c>
      <c r="I81" s="24">
        <f>IF(H81=0,0,ROUND(H81/$F81*100,2))</f>
        <v>0</v>
      </c>
      <c r="J81" s="24"/>
      <c r="K81" s="24">
        <f t="shared" si="32"/>
        <v>0</v>
      </c>
      <c r="L81" s="24">
        <f>IF(K81=0,0,ROUND(K81/$F81*100,2))</f>
        <v>0</v>
      </c>
      <c r="M81" s="24"/>
      <c r="N81" s="24">
        <f t="shared" si="33"/>
        <v>0</v>
      </c>
      <c r="O81" s="24">
        <f>IF(N81=0,0,ROUND(N81/SUM($F81,$H81,$K81)*100,2))</f>
        <v>0</v>
      </c>
      <c r="P81" s="24" t="e">
        <f>#REF!</f>
        <v>#REF!</v>
      </c>
      <c r="Q81" s="24" t="e">
        <f>ROUND(P81*12,1)</f>
        <v>#REF!</v>
      </c>
      <c r="R81" s="24" t="e">
        <f>IF(Q81=0,0,ROUND(Q81/SUM($F81,$H81,$K81)*100,2))</f>
        <v>#REF!</v>
      </c>
      <c r="S81" s="24" t="e">
        <f>#REF!</f>
        <v>#REF!</v>
      </c>
      <c r="T81" s="24" t="e">
        <f>ROUND(S81*12,1)</f>
        <v>#REF!</v>
      </c>
      <c r="U81" s="24" t="e">
        <f>IF(T81=0,0,ROUND(T81/SUM($F81,$H81,$K81)*100,2))</f>
        <v>#REF!</v>
      </c>
      <c r="V81" s="24">
        <f>SUM(F81,H81,K81,N81)</f>
        <v>0</v>
      </c>
      <c r="W81" s="49">
        <f t="shared" si="35"/>
        <v>0</v>
      </c>
      <c r="X81" s="24">
        <v>1.262</v>
      </c>
      <c r="Y81" s="48">
        <f t="shared" si="38"/>
        <v>0</v>
      </c>
    </row>
    <row r="82" spans="1:25" s="39" customFormat="1" ht="19.5" customHeight="1" hidden="1">
      <c r="A82" s="37"/>
      <c r="B82" s="38" t="s">
        <v>79</v>
      </c>
      <c r="C82" s="38"/>
      <c r="D82" s="24"/>
      <c r="E82" s="24"/>
      <c r="F82" s="24">
        <f t="shared" si="30"/>
        <v>0</v>
      </c>
      <c r="G82" s="24"/>
      <c r="H82" s="24">
        <f t="shared" si="31"/>
        <v>0</v>
      </c>
      <c r="I82" s="24">
        <f>IF(H82=0,0,ROUND(H82/$F82*100,2))</f>
        <v>0</v>
      </c>
      <c r="J82" s="24"/>
      <c r="K82" s="24">
        <f t="shared" si="32"/>
        <v>0</v>
      </c>
      <c r="L82" s="24">
        <f>IF(K82=0,0,ROUND(K82/$F82*100,2))</f>
        <v>0</v>
      </c>
      <c r="M82" s="24"/>
      <c r="N82" s="24">
        <f t="shared" si="33"/>
        <v>0</v>
      </c>
      <c r="O82" s="24">
        <f>IF(N82=0,0,ROUND(N82/SUM($F82,$H82,$K82)*100,2))</f>
        <v>0</v>
      </c>
      <c r="P82" s="24" t="e">
        <f>#REF!</f>
        <v>#REF!</v>
      </c>
      <c r="Q82" s="24" t="e">
        <f>ROUND(P82*12,1)</f>
        <v>#REF!</v>
      </c>
      <c r="R82" s="24" t="e">
        <f>IF(Q82=0,0,ROUND(Q82/SUM($F82,$H82,$K82)*100,2))</f>
        <v>#REF!</v>
      </c>
      <c r="S82" s="24" t="e">
        <f>#REF!</f>
        <v>#REF!</v>
      </c>
      <c r="T82" s="24" t="e">
        <f>ROUND(S82*12,1)</f>
        <v>#REF!</v>
      </c>
      <c r="U82" s="24" t="e">
        <f>IF(T82=0,0,ROUND(T82/SUM($F82,$H82,$K82)*100,2))</f>
        <v>#REF!</v>
      </c>
      <c r="V82" s="24">
        <f>SUM(F82,H82,K82,N82)</f>
        <v>0</v>
      </c>
      <c r="W82" s="49">
        <f t="shared" si="35"/>
        <v>0</v>
      </c>
      <c r="X82" s="24">
        <v>1.262</v>
      </c>
      <c r="Y82" s="48">
        <f t="shared" si="38"/>
        <v>0</v>
      </c>
    </row>
    <row r="83" spans="1:25" s="4" customFormat="1" ht="28.5" customHeight="1" hidden="1">
      <c r="A83" s="46">
        <f>A79+1</f>
        <v>20</v>
      </c>
      <c r="B83" s="47" t="s">
        <v>97</v>
      </c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>
        <v>1.262</v>
      </c>
      <c r="Y83" s="48">
        <f t="shared" si="38"/>
        <v>0</v>
      </c>
    </row>
    <row r="84" spans="1:25" s="39" customFormat="1" ht="50.25" customHeight="1" hidden="1">
      <c r="A84" s="37"/>
      <c r="B84" s="38" t="s">
        <v>77</v>
      </c>
      <c r="C84" s="38"/>
      <c r="D84" s="24">
        <v>15.5</v>
      </c>
      <c r="E84" s="24">
        <v>43.07</v>
      </c>
      <c r="F84" s="24">
        <f t="shared" si="30"/>
        <v>516.8</v>
      </c>
      <c r="G84" s="24">
        <f>1.275+2.3376</f>
        <v>3.6126</v>
      </c>
      <c r="H84" s="24">
        <f t="shared" si="31"/>
        <v>43.4</v>
      </c>
      <c r="I84" s="24">
        <f>IF(H84=0,0,ROUND(H84/$F84*100,2))</f>
        <v>8.4</v>
      </c>
      <c r="J84" s="24"/>
      <c r="K84" s="24">
        <f t="shared" si="32"/>
        <v>0</v>
      </c>
      <c r="L84" s="24">
        <f>IF(K84=0,0,ROUND(K84/$F84*100,2))</f>
        <v>0</v>
      </c>
      <c r="M84" s="24">
        <v>27.0772</v>
      </c>
      <c r="N84" s="24">
        <f t="shared" si="33"/>
        <v>324.9</v>
      </c>
      <c r="O84" s="24">
        <f>IF(N84=0,0,ROUND(N84/SUM($F84,$H84,$K84)*100,2))</f>
        <v>58</v>
      </c>
      <c r="P84" s="24" t="e">
        <f aca="true" t="shared" si="42" ref="P84:U84">P85+P86</f>
        <v>#REF!</v>
      </c>
      <c r="Q84" s="24" t="e">
        <f t="shared" si="42"/>
        <v>#REF!</v>
      </c>
      <c r="R84" s="24" t="e">
        <f t="shared" si="42"/>
        <v>#REF!</v>
      </c>
      <c r="S84" s="24" t="e">
        <f t="shared" si="42"/>
        <v>#REF!</v>
      </c>
      <c r="T84" s="24" t="e">
        <f t="shared" si="42"/>
        <v>#REF!</v>
      </c>
      <c r="U84" s="24" t="e">
        <f t="shared" si="42"/>
        <v>#REF!</v>
      </c>
      <c r="V84" s="24">
        <f>SUM(F84,H84,K84,N84)</f>
        <v>885.0999999999999</v>
      </c>
      <c r="W84" s="49">
        <f t="shared" si="35"/>
        <v>1504.6699999999998</v>
      </c>
      <c r="X84" s="24">
        <v>1.262</v>
      </c>
      <c r="Y84" s="48">
        <f t="shared" si="38"/>
        <v>1898.9</v>
      </c>
    </row>
    <row r="85" spans="1:25" s="39" customFormat="1" ht="27" customHeight="1" hidden="1">
      <c r="A85" s="37"/>
      <c r="B85" s="38" t="s">
        <v>78</v>
      </c>
      <c r="C85" s="38"/>
      <c r="D85" s="24"/>
      <c r="E85" s="24"/>
      <c r="F85" s="24">
        <f t="shared" si="30"/>
        <v>0</v>
      </c>
      <c r="G85" s="24"/>
      <c r="H85" s="24">
        <f t="shared" si="31"/>
        <v>0</v>
      </c>
      <c r="I85" s="24">
        <f>IF(H85=0,0,ROUND(H85/$F85*100,2))</f>
        <v>0</v>
      </c>
      <c r="J85" s="24"/>
      <c r="K85" s="24">
        <f t="shared" si="32"/>
        <v>0</v>
      </c>
      <c r="L85" s="24">
        <f>IF(K85=0,0,ROUND(K85/$F85*100,2))</f>
        <v>0</v>
      </c>
      <c r="M85" s="24"/>
      <c r="N85" s="24">
        <f t="shared" si="33"/>
        <v>0</v>
      </c>
      <c r="O85" s="24">
        <f>IF(N85=0,0,ROUND(N85/SUM($F85,$H85,$K85)*100,2))</f>
        <v>0</v>
      </c>
      <c r="P85" s="24" t="e">
        <f>#REF!</f>
        <v>#REF!</v>
      </c>
      <c r="Q85" s="24" t="e">
        <f>ROUND(P85*12,1)</f>
        <v>#REF!</v>
      </c>
      <c r="R85" s="24" t="e">
        <f>IF(Q85=0,0,ROUND(Q85/SUM($F85,$H85,$K85)*100,2))</f>
        <v>#REF!</v>
      </c>
      <c r="S85" s="24" t="e">
        <f>#REF!</f>
        <v>#REF!</v>
      </c>
      <c r="T85" s="24" t="e">
        <f>ROUND(S85*12,1)</f>
        <v>#REF!</v>
      </c>
      <c r="U85" s="24" t="e">
        <f>IF(T85=0,0,ROUND(T85/SUM($F85,$H85,$K85)*100,2))</f>
        <v>#REF!</v>
      </c>
      <c r="V85" s="24">
        <f>SUM(F85,H85,K85,N85)</f>
        <v>0</v>
      </c>
      <c r="W85" s="49">
        <f t="shared" si="35"/>
        <v>0</v>
      </c>
      <c r="X85" s="24">
        <v>1.262</v>
      </c>
      <c r="Y85" s="48">
        <f t="shared" si="38"/>
        <v>0</v>
      </c>
    </row>
    <row r="86" spans="1:25" s="39" customFormat="1" ht="19.5" customHeight="1" hidden="1">
      <c r="A86" s="37"/>
      <c r="B86" s="38" t="s">
        <v>79</v>
      </c>
      <c r="C86" s="38"/>
      <c r="D86" s="24"/>
      <c r="E86" s="24"/>
      <c r="F86" s="24">
        <f t="shared" si="30"/>
        <v>0</v>
      </c>
      <c r="G86" s="24"/>
      <c r="H86" s="24">
        <f t="shared" si="31"/>
        <v>0</v>
      </c>
      <c r="I86" s="24">
        <f>IF(H86=0,0,ROUND(H86/$F86*100,2))</f>
        <v>0</v>
      </c>
      <c r="J86" s="24"/>
      <c r="K86" s="24">
        <f t="shared" si="32"/>
        <v>0</v>
      </c>
      <c r="L86" s="24">
        <f>IF(K86=0,0,ROUND(K86/$F86*100,2))</f>
        <v>0</v>
      </c>
      <c r="M86" s="24"/>
      <c r="N86" s="24">
        <f t="shared" si="33"/>
        <v>0</v>
      </c>
      <c r="O86" s="24">
        <f>IF(N86=0,0,ROUND(N86/SUM($F86,$H86,$K86)*100,2))</f>
        <v>0</v>
      </c>
      <c r="P86" s="24" t="e">
        <f>#REF!</f>
        <v>#REF!</v>
      </c>
      <c r="Q86" s="24" t="e">
        <f>ROUND(P86*12,1)</f>
        <v>#REF!</v>
      </c>
      <c r="R86" s="24" t="e">
        <f>IF(Q86=0,0,ROUND(Q86/SUM($F86,$H86,$K86)*100,2))</f>
        <v>#REF!</v>
      </c>
      <c r="S86" s="24" t="e">
        <f>#REF!</f>
        <v>#REF!</v>
      </c>
      <c r="T86" s="24" t="e">
        <f>ROUND(S86*12,1)</f>
        <v>#REF!</v>
      </c>
      <c r="U86" s="24" t="e">
        <f>IF(T86=0,0,ROUND(T86/SUM($F86,$H86,$K86)*100,2))</f>
        <v>#REF!</v>
      </c>
      <c r="V86" s="24">
        <f>SUM(F86,H86,K86,N86)</f>
        <v>0</v>
      </c>
      <c r="W86" s="49">
        <f t="shared" si="35"/>
        <v>0</v>
      </c>
      <c r="X86" s="24">
        <v>1.262</v>
      </c>
      <c r="Y86" s="48">
        <f t="shared" si="38"/>
        <v>0</v>
      </c>
    </row>
    <row r="87" spans="1:25" s="4" customFormat="1" ht="28.5" customHeight="1" hidden="1">
      <c r="A87" s="46">
        <f>A83+1</f>
        <v>21</v>
      </c>
      <c r="B87" s="47" t="s">
        <v>98</v>
      </c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>
        <v>1.262</v>
      </c>
      <c r="Y87" s="48">
        <f>ROUND(W87*X87,1)</f>
        <v>0</v>
      </c>
    </row>
    <row r="88" spans="1:25" s="39" customFormat="1" ht="50.25" customHeight="1" hidden="1">
      <c r="A88" s="37"/>
      <c r="B88" s="38" t="s">
        <v>77</v>
      </c>
      <c r="C88" s="38"/>
      <c r="D88" s="24">
        <v>15.5</v>
      </c>
      <c r="E88" s="24">
        <v>43.07</v>
      </c>
      <c r="F88" s="24">
        <f t="shared" si="30"/>
        <v>516.8</v>
      </c>
      <c r="G88" s="24">
        <f>1.275+2.3376</f>
        <v>3.6126</v>
      </c>
      <c r="H88" s="24">
        <f t="shared" si="31"/>
        <v>43.4</v>
      </c>
      <c r="I88" s="24">
        <f>IF(H88=0,0,ROUND(H88/$F88*100,2))</f>
        <v>8.4</v>
      </c>
      <c r="J88" s="24"/>
      <c r="K88" s="24">
        <f t="shared" si="32"/>
        <v>0</v>
      </c>
      <c r="L88" s="24">
        <f>IF(K88=0,0,ROUND(K88/$F88*100,2))</f>
        <v>0</v>
      </c>
      <c r="M88" s="24">
        <v>27.0772</v>
      </c>
      <c r="N88" s="24">
        <f t="shared" si="33"/>
        <v>324.9</v>
      </c>
      <c r="O88" s="24">
        <f>IF(N88=0,0,ROUND(N88/SUM($F88,$H88,$K88)*100,2))</f>
        <v>58</v>
      </c>
      <c r="P88" s="24" t="e">
        <f aca="true" t="shared" si="43" ref="P88:U88">P89+P90</f>
        <v>#REF!</v>
      </c>
      <c r="Q88" s="24" t="e">
        <f t="shared" si="43"/>
        <v>#REF!</v>
      </c>
      <c r="R88" s="24" t="e">
        <f t="shared" si="43"/>
        <v>#REF!</v>
      </c>
      <c r="S88" s="24" t="e">
        <f t="shared" si="43"/>
        <v>#REF!</v>
      </c>
      <c r="T88" s="24" t="e">
        <f t="shared" si="43"/>
        <v>#REF!</v>
      </c>
      <c r="U88" s="24" t="e">
        <f t="shared" si="43"/>
        <v>#REF!</v>
      </c>
      <c r="V88" s="24">
        <f>SUM(F88,H88,K88,N88)</f>
        <v>885.0999999999999</v>
      </c>
      <c r="W88" s="49">
        <f t="shared" si="35"/>
        <v>1504.6699999999998</v>
      </c>
      <c r="X88" s="24">
        <v>1.262</v>
      </c>
      <c r="Y88" s="48">
        <f>ROUND(W88*X88,1)</f>
        <v>1898.9</v>
      </c>
    </row>
    <row r="89" spans="1:25" s="39" customFormat="1" ht="27" customHeight="1" hidden="1">
      <c r="A89" s="37"/>
      <c r="B89" s="38" t="s">
        <v>78</v>
      </c>
      <c r="C89" s="38"/>
      <c r="D89" s="24"/>
      <c r="E89" s="24"/>
      <c r="F89" s="24">
        <f t="shared" si="30"/>
        <v>0</v>
      </c>
      <c r="G89" s="24"/>
      <c r="H89" s="24">
        <f t="shared" si="31"/>
        <v>0</v>
      </c>
      <c r="I89" s="24">
        <f>IF(H89=0,0,ROUND(H89/$F89*100,2))</f>
        <v>0</v>
      </c>
      <c r="J89" s="24"/>
      <c r="K89" s="24">
        <f t="shared" si="32"/>
        <v>0</v>
      </c>
      <c r="L89" s="24">
        <f>IF(K89=0,0,ROUND(K89/$F89*100,2))</f>
        <v>0</v>
      </c>
      <c r="M89" s="24"/>
      <c r="N89" s="24">
        <f t="shared" si="33"/>
        <v>0</v>
      </c>
      <c r="O89" s="24">
        <f>IF(N89=0,0,ROUND(N89/SUM($F89,$H89,$K89)*100,2))</f>
        <v>0</v>
      </c>
      <c r="P89" s="24" t="e">
        <f>#REF!</f>
        <v>#REF!</v>
      </c>
      <c r="Q89" s="24" t="e">
        <f>ROUND(P89*12,1)</f>
        <v>#REF!</v>
      </c>
      <c r="R89" s="24" t="e">
        <f>IF(Q89=0,0,ROUND(Q89/SUM($F89,$H89,$K89)*100,2))</f>
        <v>#REF!</v>
      </c>
      <c r="S89" s="24" t="e">
        <f>#REF!</f>
        <v>#REF!</v>
      </c>
      <c r="T89" s="24" t="e">
        <f>ROUND(S89*12,1)</f>
        <v>#REF!</v>
      </c>
      <c r="U89" s="24" t="e">
        <f>IF(T89=0,0,ROUND(T89/SUM($F89,$H89,$K89)*100,2))</f>
        <v>#REF!</v>
      </c>
      <c r="V89" s="24">
        <f>SUM(F89,H89,K89,N89)</f>
        <v>0</v>
      </c>
      <c r="W89" s="49">
        <f t="shared" si="35"/>
        <v>0</v>
      </c>
      <c r="X89" s="24">
        <v>1.262</v>
      </c>
      <c r="Y89" s="48">
        <f>ROUND(W89*X89,1)</f>
        <v>0</v>
      </c>
    </row>
    <row r="90" spans="1:25" s="39" customFormat="1" ht="19.5" customHeight="1" hidden="1">
      <c r="A90" s="37"/>
      <c r="B90" s="38" t="s">
        <v>79</v>
      </c>
      <c r="C90" s="38"/>
      <c r="D90" s="24"/>
      <c r="E90" s="24"/>
      <c r="F90" s="24">
        <f t="shared" si="30"/>
        <v>0</v>
      </c>
      <c r="G90" s="24"/>
      <c r="H90" s="24">
        <f t="shared" si="31"/>
        <v>0</v>
      </c>
      <c r="I90" s="24">
        <f>IF(H90=0,0,ROUND(H90/$F90*100,2))</f>
        <v>0</v>
      </c>
      <c r="J90" s="24"/>
      <c r="K90" s="24">
        <f t="shared" si="32"/>
        <v>0</v>
      </c>
      <c r="L90" s="24">
        <f>IF(K90=0,0,ROUND(K90/$F90*100,2))</f>
        <v>0</v>
      </c>
      <c r="M90" s="24"/>
      <c r="N90" s="24">
        <f t="shared" si="33"/>
        <v>0</v>
      </c>
      <c r="O90" s="24">
        <f>IF(N90=0,0,ROUND(N90/SUM($F90,$H90,$K90)*100,2))</f>
        <v>0</v>
      </c>
      <c r="P90" s="24" t="e">
        <f>#REF!</f>
        <v>#REF!</v>
      </c>
      <c r="Q90" s="24" t="e">
        <f>ROUND(P90*12,1)</f>
        <v>#REF!</v>
      </c>
      <c r="R90" s="24" t="e">
        <f>IF(Q90=0,0,ROUND(Q90/SUM($F90,$H90,$K90)*100,2))</f>
        <v>#REF!</v>
      </c>
      <c r="S90" s="24" t="e">
        <f>#REF!</f>
        <v>#REF!</v>
      </c>
      <c r="T90" s="24" t="e">
        <f>ROUND(S90*12,1)</f>
        <v>#REF!</v>
      </c>
      <c r="U90" s="24" t="e">
        <f>IF(T90=0,0,ROUND(T90/SUM($F90,$H90,$K90)*100,2))</f>
        <v>#REF!</v>
      </c>
      <c r="V90" s="24">
        <f>SUM(F90,H90,K90,N90)</f>
        <v>0</v>
      </c>
      <c r="W90" s="49">
        <f t="shared" si="35"/>
        <v>0</v>
      </c>
      <c r="X90" s="24">
        <v>1.262</v>
      </c>
      <c r="Y90" s="48">
        <f>ROUND(W90*X90,1)</f>
        <v>0</v>
      </c>
    </row>
    <row r="91" ht="12.75" hidden="1">
      <c r="A91" s="4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</sheetData>
  <sheetProtection/>
  <mergeCells count="15">
    <mergeCell ref="A2:Y2"/>
    <mergeCell ref="A3:A5"/>
    <mergeCell ref="B3:B5"/>
    <mergeCell ref="D3:Y3"/>
    <mergeCell ref="C4:C5"/>
    <mergeCell ref="P4:R4"/>
    <mergeCell ref="Y4:Y5"/>
    <mergeCell ref="S4:U4"/>
    <mergeCell ref="V4:V5"/>
    <mergeCell ref="W4:W5"/>
    <mergeCell ref="X4:X5"/>
    <mergeCell ref="E4:F4"/>
    <mergeCell ref="G4:I4"/>
    <mergeCell ref="J4:L4"/>
    <mergeCell ref="M4:O4"/>
  </mergeCells>
  <printOptions/>
  <pageMargins left="0.22" right="0.2" top="0.17" bottom="1" header="0.17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N13"/>
  <sheetViews>
    <sheetView showZeros="0" zoomScalePageLayoutView="0" workbookViewId="0" topLeftCell="A1">
      <selection activeCell="M14" sqref="M14"/>
    </sheetView>
  </sheetViews>
  <sheetFormatPr defaultColWidth="9.140625" defaultRowHeight="12.75"/>
  <cols>
    <col min="1" max="1" width="16.140625" style="0" customWidth="1"/>
    <col min="2" max="2" width="11.8515625" style="0" customWidth="1"/>
    <col min="3" max="3" width="12.421875" style="0" customWidth="1"/>
    <col min="4" max="4" width="10.8515625" style="0" bestFit="1" customWidth="1"/>
    <col min="5" max="5" width="13.7109375" style="0" customWidth="1"/>
    <col min="6" max="6" width="11.8515625" style="0" customWidth="1"/>
    <col min="8" max="8" width="12.28125" style="0" customWidth="1"/>
    <col min="9" max="9" width="8.8515625" style="0" customWidth="1"/>
    <col min="10" max="10" width="11.57421875" style="0" customWidth="1"/>
    <col min="11" max="11" width="9.28125" style="0" customWidth="1"/>
    <col min="12" max="12" width="12.00390625" style="0" customWidth="1"/>
    <col min="13" max="13" width="7.00390625" style="0" customWidth="1"/>
    <col min="14" max="14" width="6.57421875" style="0" customWidth="1"/>
    <col min="15" max="16384" width="9.140625" style="3" customWidth="1"/>
  </cols>
  <sheetData>
    <row r="1" ht="15.75">
      <c r="N1" s="8" t="s">
        <v>137</v>
      </c>
    </row>
    <row r="2" ht="7.5" customHeight="1"/>
    <row r="3" spans="1:14" ht="15.75" customHeight="1">
      <c r="A3" s="285" t="s">
        <v>100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ht="9" customHeight="1"/>
    <row r="5" spans="1:14" s="4" customFormat="1" ht="12.75" customHeight="1">
      <c r="A5" s="273" t="s">
        <v>44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</row>
    <row r="6" spans="1:14" s="4" customFormat="1" ht="12.75" customHeight="1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12.75" customHeight="1">
      <c r="A7" s="276" t="s">
        <v>15</v>
      </c>
      <c r="B7" s="277"/>
      <c r="C7" s="277"/>
      <c r="D7" s="277"/>
      <c r="E7" s="277"/>
      <c r="F7" s="276" t="s">
        <v>127</v>
      </c>
      <c r="G7" s="277"/>
      <c r="H7" s="277"/>
      <c r="I7" s="278"/>
      <c r="J7" s="276" t="s">
        <v>129</v>
      </c>
      <c r="K7" s="277"/>
      <c r="L7" s="277"/>
      <c r="M7" s="278"/>
      <c r="N7" s="278" t="s">
        <v>1</v>
      </c>
    </row>
    <row r="8" spans="1:14" s="4" customFormat="1" ht="23.25" customHeight="1">
      <c r="A8" s="279"/>
      <c r="B8" s="280"/>
      <c r="C8" s="280"/>
      <c r="D8" s="280"/>
      <c r="E8" s="280"/>
      <c r="F8" s="279"/>
      <c r="G8" s="280"/>
      <c r="H8" s="280"/>
      <c r="I8" s="281"/>
      <c r="J8" s="279"/>
      <c r="K8" s="280"/>
      <c r="L8" s="280"/>
      <c r="M8" s="281"/>
      <c r="N8" s="284"/>
    </row>
    <row r="9" spans="1:14" s="4" customFormat="1" ht="12.75" customHeight="1">
      <c r="A9" s="276" t="s">
        <v>106</v>
      </c>
      <c r="B9" s="286" t="s">
        <v>105</v>
      </c>
      <c r="C9" s="282" t="s">
        <v>40</v>
      </c>
      <c r="D9" s="282" t="s">
        <v>107</v>
      </c>
      <c r="E9" s="282" t="s">
        <v>108</v>
      </c>
      <c r="F9" s="282" t="s">
        <v>41</v>
      </c>
      <c r="G9" s="282" t="s">
        <v>42</v>
      </c>
      <c r="H9" s="282" t="s">
        <v>43</v>
      </c>
      <c r="I9" s="282" t="s">
        <v>28</v>
      </c>
      <c r="J9" s="282" t="s">
        <v>41</v>
      </c>
      <c r="K9" s="282" t="s">
        <v>42</v>
      </c>
      <c r="L9" s="282" t="s">
        <v>43</v>
      </c>
      <c r="M9" s="282" t="s">
        <v>28</v>
      </c>
      <c r="N9" s="284"/>
    </row>
    <row r="10" spans="1:14" s="4" customFormat="1" ht="114" customHeight="1">
      <c r="A10" s="279"/>
      <c r="B10" s="286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1"/>
    </row>
    <row r="11" spans="1:14" s="4" customFormat="1" ht="12.75">
      <c r="A11" s="1">
        <v>1</v>
      </c>
      <c r="B11" s="1">
        <f aca="true" t="shared" si="0" ref="B11:I11">A11+1</f>
        <v>2</v>
      </c>
      <c r="C11" s="1">
        <f t="shared" si="0"/>
        <v>3</v>
      </c>
      <c r="D11" s="1">
        <f t="shared" si="0"/>
        <v>4</v>
      </c>
      <c r="E11" s="1">
        <f t="shared" si="0"/>
        <v>5</v>
      </c>
      <c r="F11" s="1">
        <f>E11+1</f>
        <v>6</v>
      </c>
      <c r="G11" s="1">
        <f t="shared" si="0"/>
        <v>7</v>
      </c>
      <c r="H11" s="1">
        <f t="shared" si="0"/>
        <v>8</v>
      </c>
      <c r="I11" s="1">
        <f t="shared" si="0"/>
        <v>9</v>
      </c>
      <c r="J11" s="1">
        <f>I11+1</f>
        <v>10</v>
      </c>
      <c r="K11" s="1">
        <f>J11+1</f>
        <v>11</v>
      </c>
      <c r="L11" s="1">
        <f>K11+1</f>
        <v>12</v>
      </c>
      <c r="M11" s="1">
        <f>L11+1</f>
        <v>13</v>
      </c>
      <c r="N11" s="1">
        <f>M11+1</f>
        <v>14</v>
      </c>
    </row>
    <row r="12" spans="1:14" s="4" customFormat="1" ht="12.75">
      <c r="A12" s="5">
        <v>8</v>
      </c>
      <c r="B12" s="5">
        <v>36</v>
      </c>
      <c r="C12" s="5">
        <v>241</v>
      </c>
      <c r="D12" s="87">
        <f>C12/A12</f>
        <v>30.125</v>
      </c>
      <c r="E12" s="147">
        <f>B12*7.9</f>
        <v>284.40000000000003</v>
      </c>
      <c r="F12" s="5">
        <v>55</v>
      </c>
      <c r="G12" s="5">
        <v>100</v>
      </c>
      <c r="H12" s="5">
        <v>12</v>
      </c>
      <c r="I12" s="148">
        <f>F12*G12*H12/1000</f>
        <v>66</v>
      </c>
      <c r="J12" s="5">
        <v>2</v>
      </c>
      <c r="K12" s="5">
        <f>50*1.3</f>
        <v>65</v>
      </c>
      <c r="L12" s="5">
        <v>12</v>
      </c>
      <c r="M12" s="148">
        <f>J12*K12*L12/1000</f>
        <v>1.56</v>
      </c>
      <c r="N12" s="87">
        <f>SUM(E12,I12,M12)</f>
        <v>351.96000000000004</v>
      </c>
    </row>
    <row r="13" spans="5:13" ht="12.75">
      <c r="E13" s="137">
        <v>212</v>
      </c>
      <c r="F13" s="137"/>
      <c r="G13" s="137"/>
      <c r="H13" s="137"/>
      <c r="I13" s="137">
        <v>212</v>
      </c>
      <c r="M13">
        <v>211</v>
      </c>
    </row>
  </sheetData>
  <sheetProtection/>
  <mergeCells count="19">
    <mergeCell ref="A3:N3"/>
    <mergeCell ref="A7:E8"/>
    <mergeCell ref="D9:D10"/>
    <mergeCell ref="E9:E10"/>
    <mergeCell ref="F9:F10"/>
    <mergeCell ref="G9:G10"/>
    <mergeCell ref="H9:H10"/>
    <mergeCell ref="B9:B10"/>
    <mergeCell ref="A9:A10"/>
    <mergeCell ref="I9:I10"/>
    <mergeCell ref="A5:N5"/>
    <mergeCell ref="J7:M8"/>
    <mergeCell ref="J9:J10"/>
    <mergeCell ref="K9:K10"/>
    <mergeCell ref="L9:L10"/>
    <mergeCell ref="M9:M10"/>
    <mergeCell ref="N7:N10"/>
    <mergeCell ref="C9:C10"/>
    <mergeCell ref="F7:I8"/>
  </mergeCells>
  <printOptions/>
  <pageMargins left="0.3937007874015748" right="0.1968503937007874" top="0.984251968503937" bottom="0.5905511811023623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15"/>
  <sheetViews>
    <sheetView showZeros="0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8.57421875" style="3" customWidth="1"/>
    <col min="2" max="3" width="15.00390625" style="3" customWidth="1"/>
    <col min="4" max="4" width="16.00390625" style="3" customWidth="1"/>
    <col min="5" max="5" width="13.7109375" style="3" customWidth="1"/>
    <col min="6" max="6" width="15.00390625" style="3" customWidth="1"/>
    <col min="7" max="7" width="13.7109375" style="3" customWidth="1"/>
    <col min="8" max="16384" width="9.140625" style="3" customWidth="1"/>
  </cols>
  <sheetData>
    <row r="1" spans="5:7" ht="15.75">
      <c r="E1" s="50"/>
      <c r="G1" s="51" t="s">
        <v>138</v>
      </c>
    </row>
    <row r="2" spans="1:7" ht="15.75">
      <c r="A2" s="287" t="s">
        <v>101</v>
      </c>
      <c r="B2" s="287"/>
      <c r="C2" s="287"/>
      <c r="D2" s="287"/>
      <c r="E2" s="287"/>
      <c r="F2" s="287"/>
      <c r="G2" s="287"/>
    </row>
    <row r="4" spans="1:7" s="4" customFormat="1" ht="12.75" customHeight="1">
      <c r="A4" s="288" t="s">
        <v>0</v>
      </c>
      <c r="B4" s="291" t="s">
        <v>13</v>
      </c>
      <c r="C4" s="292"/>
      <c r="D4" s="292"/>
      <c r="E4" s="292"/>
      <c r="F4" s="292"/>
      <c r="G4" s="293"/>
    </row>
    <row r="5" spans="1:7" s="4" customFormat="1" ht="12.75" customHeight="1" hidden="1">
      <c r="A5" s="289"/>
      <c r="B5" s="294"/>
      <c r="C5" s="295"/>
      <c r="D5" s="295"/>
      <c r="E5" s="295"/>
      <c r="F5" s="295"/>
      <c r="G5" s="296"/>
    </row>
    <row r="6" spans="1:7" s="4" customFormat="1" ht="12.75" customHeight="1" hidden="1">
      <c r="A6" s="289"/>
      <c r="B6" s="297"/>
      <c r="C6" s="298"/>
      <c r="D6" s="298"/>
      <c r="E6" s="298"/>
      <c r="F6" s="298"/>
      <c r="G6" s="299"/>
    </row>
    <row r="7" spans="1:7" s="4" customFormat="1" ht="39" customHeight="1">
      <c r="A7" s="290"/>
      <c r="B7" s="56" t="s">
        <v>34</v>
      </c>
      <c r="C7" s="56" t="s">
        <v>36</v>
      </c>
      <c r="D7" s="56" t="s">
        <v>37</v>
      </c>
      <c r="E7" s="56" t="s">
        <v>28</v>
      </c>
      <c r="F7" s="57" t="s">
        <v>7</v>
      </c>
      <c r="G7" s="56" t="s">
        <v>1</v>
      </c>
    </row>
    <row r="8" spans="1:7" s="4" customFormat="1" ht="12.75">
      <c r="A8" s="58">
        <v>1</v>
      </c>
      <c r="B8" s="58">
        <f aca="true" t="shared" si="0" ref="B8:G8">A8+1</f>
        <v>2</v>
      </c>
      <c r="C8" s="58">
        <f t="shared" si="0"/>
        <v>3</v>
      </c>
      <c r="D8" s="58">
        <f t="shared" si="0"/>
        <v>4</v>
      </c>
      <c r="E8" s="58">
        <f t="shared" si="0"/>
        <v>5</v>
      </c>
      <c r="F8" s="58">
        <f t="shared" si="0"/>
        <v>6</v>
      </c>
      <c r="G8" s="58">
        <f t="shared" si="0"/>
        <v>7</v>
      </c>
    </row>
    <row r="9" spans="1:7" s="4" customFormat="1" ht="12.75">
      <c r="A9" s="59" t="s">
        <v>13</v>
      </c>
      <c r="B9" s="60"/>
      <c r="C9" s="60"/>
      <c r="D9" s="60"/>
      <c r="E9" s="61"/>
      <c r="F9" s="61"/>
      <c r="G9" s="20"/>
    </row>
    <row r="10" spans="1:7" s="6" customFormat="1" ht="12">
      <c r="A10" s="62" t="s">
        <v>31</v>
      </c>
      <c r="B10" s="63" t="s">
        <v>29</v>
      </c>
      <c r="C10" s="64">
        <f>11910*12</f>
        <v>142920</v>
      </c>
      <c r="D10" s="111">
        <f>5.27*1.103</f>
        <v>5.81281</v>
      </c>
      <c r="E10" s="17">
        <f>ROUND(C10*D10/1000,1)</f>
        <v>830.8</v>
      </c>
      <c r="F10" s="64"/>
      <c r="G10" s="92">
        <f>E10*F10</f>
        <v>0</v>
      </c>
    </row>
    <row r="11" spans="1:7" s="6" customFormat="1" ht="12">
      <c r="A11" s="62" t="s">
        <v>32</v>
      </c>
      <c r="B11" s="63" t="s">
        <v>30</v>
      </c>
      <c r="C11" s="88">
        <f>219.21*12</f>
        <v>2630.52</v>
      </c>
      <c r="D11" s="112">
        <f>1014.42*1.103</f>
        <v>1118.90526</v>
      </c>
      <c r="E11" s="17">
        <f>ROUND(C11*D11/1000,1)</f>
        <v>2943.3</v>
      </c>
      <c r="F11" s="64"/>
      <c r="G11" s="92">
        <f>E11*F11</f>
        <v>0</v>
      </c>
    </row>
    <row r="12" spans="1:7" s="6" customFormat="1" ht="12">
      <c r="A12" s="62" t="s">
        <v>143</v>
      </c>
      <c r="B12" s="63" t="s">
        <v>35</v>
      </c>
      <c r="C12" s="64">
        <f>171.01*12</f>
        <v>2052.12</v>
      </c>
      <c r="D12" s="112">
        <f>28.49*1.103</f>
        <v>31.42447</v>
      </c>
      <c r="E12" s="17">
        <f>ROUND(C12*D12/1000,1)</f>
        <v>64.5</v>
      </c>
      <c r="F12" s="64"/>
      <c r="G12" s="92">
        <f>E12*F12</f>
        <v>0</v>
      </c>
    </row>
    <row r="13" spans="1:7" s="6" customFormat="1" ht="12">
      <c r="A13" s="62" t="s">
        <v>115</v>
      </c>
      <c r="B13" s="63" t="s">
        <v>35</v>
      </c>
      <c r="C13" s="64">
        <f>713*12</f>
        <v>8556</v>
      </c>
      <c r="D13" s="112">
        <f>29.95*1.103</f>
        <v>33.03485</v>
      </c>
      <c r="E13" s="17">
        <f>ROUND(C13*D13/1000,1)</f>
        <v>282.6</v>
      </c>
      <c r="F13" s="64"/>
      <c r="G13" s="92">
        <f>E13*F13</f>
        <v>0</v>
      </c>
    </row>
    <row r="14" spans="1:7" s="6" customFormat="1" ht="12">
      <c r="A14" s="62" t="s">
        <v>142</v>
      </c>
      <c r="B14" s="63" t="s">
        <v>35</v>
      </c>
      <c r="C14" s="64">
        <f>366*12</f>
        <v>4392</v>
      </c>
      <c r="D14" s="112">
        <f>95.79*1.103</f>
        <v>105.65637000000001</v>
      </c>
      <c r="E14" s="17">
        <f>ROUND(C14*D14/1000,1)</f>
        <v>464</v>
      </c>
      <c r="F14" s="64"/>
      <c r="G14" s="92"/>
    </row>
    <row r="15" spans="1:7" s="152" customFormat="1" ht="12.75">
      <c r="A15" s="135" t="s">
        <v>33</v>
      </c>
      <c r="B15" s="149" t="s">
        <v>2</v>
      </c>
      <c r="C15" s="149" t="s">
        <v>2</v>
      </c>
      <c r="D15" s="149" t="s">
        <v>2</v>
      </c>
      <c r="E15" s="150">
        <f>SUM(E10:E14)</f>
        <v>4585.200000000001</v>
      </c>
      <c r="F15" s="150"/>
      <c r="G15" s="151">
        <f>SUM(G10:G13)</f>
        <v>0</v>
      </c>
    </row>
  </sheetData>
  <sheetProtection/>
  <mergeCells count="3">
    <mergeCell ref="A2:G2"/>
    <mergeCell ref="A4:A7"/>
    <mergeCell ref="B4:G6"/>
  </mergeCells>
  <printOptions horizontalCentered="1"/>
  <pageMargins left="0.3937007874015748" right="0.3937007874015748" top="0.984251968503937" bottom="0.5511811023622047" header="0.5118110236220472" footer="0.511811023622047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F25"/>
  <sheetViews>
    <sheetView showZeros="0" zoomScalePageLayoutView="0" workbookViewId="0" topLeftCell="A1">
      <selection activeCell="B21" sqref="B21"/>
    </sheetView>
  </sheetViews>
  <sheetFormatPr defaultColWidth="9.140625" defaultRowHeight="12.75"/>
  <cols>
    <col min="1" max="1" width="56.8515625" style="3" customWidth="1"/>
    <col min="2" max="2" width="15.00390625" style="3" customWidth="1"/>
    <col min="3" max="3" width="16.00390625" style="3" customWidth="1"/>
    <col min="4" max="4" width="16.8515625" style="3" customWidth="1"/>
    <col min="5" max="5" width="13.28125" style="3" customWidth="1"/>
    <col min="6" max="16384" width="9.140625" style="3" customWidth="1"/>
  </cols>
  <sheetData>
    <row r="1" ht="14.25">
      <c r="E1" s="50" t="s">
        <v>139</v>
      </c>
    </row>
    <row r="3" spans="1:5" ht="15.75">
      <c r="A3" s="287" t="s">
        <v>102</v>
      </c>
      <c r="B3" s="287"/>
      <c r="C3" s="287"/>
      <c r="D3" s="287"/>
      <c r="E3" s="287"/>
    </row>
    <row r="5" spans="1:6" s="4" customFormat="1" ht="12.75" customHeight="1">
      <c r="A5" s="288" t="s">
        <v>0</v>
      </c>
      <c r="B5" s="300" t="s">
        <v>6</v>
      </c>
      <c r="C5" s="300"/>
      <c r="D5" s="300"/>
      <c r="E5" s="300"/>
      <c r="F5" s="300"/>
    </row>
    <row r="6" spans="1:6" s="4" customFormat="1" ht="12.75" customHeight="1" hidden="1">
      <c r="A6" s="289"/>
      <c r="B6" s="300"/>
      <c r="C6" s="300"/>
      <c r="D6" s="300"/>
      <c r="E6" s="300"/>
      <c r="F6" s="300"/>
    </row>
    <row r="7" spans="1:6" s="4" customFormat="1" ht="12.75" customHeight="1" hidden="1">
      <c r="A7" s="289"/>
      <c r="B7" s="300"/>
      <c r="C7" s="300"/>
      <c r="D7" s="300"/>
      <c r="E7" s="300"/>
      <c r="F7" s="300"/>
    </row>
    <row r="8" spans="1:6" s="4" customFormat="1" ht="70.5" customHeight="1">
      <c r="A8" s="290"/>
      <c r="B8" s="2" t="s">
        <v>131</v>
      </c>
      <c r="C8" s="56" t="s">
        <v>5</v>
      </c>
      <c r="D8" s="56" t="s">
        <v>28</v>
      </c>
      <c r="E8" s="57" t="s">
        <v>112</v>
      </c>
      <c r="F8" s="56" t="s">
        <v>1</v>
      </c>
    </row>
    <row r="9" spans="1:6" s="4" customFormat="1" ht="12.75">
      <c r="A9" s="58">
        <v>1</v>
      </c>
      <c r="B9" s="58">
        <f>A9+1</f>
        <v>2</v>
      </c>
      <c r="C9" s="58">
        <f>B9+1</f>
        <v>3</v>
      </c>
      <c r="D9" s="58">
        <f>C9+1</f>
        <v>4</v>
      </c>
      <c r="E9" s="58"/>
      <c r="F9" s="101"/>
    </row>
    <row r="10" spans="1:6" s="4" customFormat="1" ht="12.75">
      <c r="A10" s="108" t="s">
        <v>144</v>
      </c>
      <c r="B10" s="66" t="s">
        <v>2</v>
      </c>
      <c r="C10" s="66" t="s">
        <v>2</v>
      </c>
      <c r="D10" s="109">
        <f>SUM(D11:D11)</f>
        <v>96</v>
      </c>
      <c r="E10" s="109"/>
      <c r="F10" s="110">
        <f>SUM(F11:F11)</f>
        <v>105.888</v>
      </c>
    </row>
    <row r="11" spans="1:6" s="6" customFormat="1" ht="12.75">
      <c r="A11" s="70" t="s">
        <v>145</v>
      </c>
      <c r="B11" s="64">
        <v>8000</v>
      </c>
      <c r="C11" s="64">
        <v>12</v>
      </c>
      <c r="D11" s="17">
        <f>ROUND(B11*C11/1000,1)</f>
        <v>96</v>
      </c>
      <c r="E11" s="17">
        <v>1.103</v>
      </c>
      <c r="F11" s="102">
        <f>D11*E11</f>
        <v>105.888</v>
      </c>
    </row>
    <row r="12" spans="1:6" s="4" customFormat="1" ht="12.75">
      <c r="A12" s="108" t="s">
        <v>128</v>
      </c>
      <c r="B12" s="66" t="s">
        <v>2</v>
      </c>
      <c r="C12" s="66" t="s">
        <v>2</v>
      </c>
      <c r="D12" s="109">
        <f>SUM(D13:D13)</f>
        <v>132</v>
      </c>
      <c r="E12" s="109"/>
      <c r="F12" s="110">
        <f>SUM(F13:F13)</f>
        <v>145.596</v>
      </c>
    </row>
    <row r="13" spans="1:6" s="105" customFormat="1" ht="12.75">
      <c r="A13" s="103" t="s">
        <v>130</v>
      </c>
      <c r="B13" s="90">
        <v>11000</v>
      </c>
      <c r="C13" s="90">
        <v>12</v>
      </c>
      <c r="D13" s="17">
        <f>ROUND(B13*C13/1000,1)</f>
        <v>132</v>
      </c>
      <c r="E13" s="17">
        <v>1.103</v>
      </c>
      <c r="F13" s="104">
        <f>D13*E13</f>
        <v>145.596</v>
      </c>
    </row>
    <row r="14" spans="1:6" s="4" customFormat="1" ht="25.5">
      <c r="A14" s="108" t="s">
        <v>146</v>
      </c>
      <c r="B14" s="66" t="s">
        <v>2</v>
      </c>
      <c r="C14" s="66" t="s">
        <v>2</v>
      </c>
      <c r="D14" s="109">
        <f>SUM(D15:D15)</f>
        <v>180</v>
      </c>
      <c r="E14" s="109"/>
      <c r="F14" s="110">
        <f>SUM(F15:F15)</f>
        <v>198.54</v>
      </c>
    </row>
    <row r="15" spans="1:6" s="105" customFormat="1" ht="12.75">
      <c r="A15" s="103" t="s">
        <v>147</v>
      </c>
      <c r="B15" s="64">
        <v>15000</v>
      </c>
      <c r="C15" s="64">
        <v>12</v>
      </c>
      <c r="D15" s="17">
        <f>ROUND(B15*C15/1000,1)</f>
        <v>180</v>
      </c>
      <c r="E15" s="17">
        <v>1.103</v>
      </c>
      <c r="F15" s="102">
        <f>D15*E15</f>
        <v>198.54</v>
      </c>
    </row>
    <row r="16" spans="1:6" s="105" customFormat="1" ht="12.75">
      <c r="A16" s="139" t="s">
        <v>338</v>
      </c>
      <c r="B16" s="66" t="s">
        <v>2</v>
      </c>
      <c r="C16" s="66" t="s">
        <v>2</v>
      </c>
      <c r="D16" s="109">
        <f>SUM(D17:D19)</f>
        <v>39</v>
      </c>
      <c r="E16" s="109"/>
      <c r="F16" s="110">
        <f>SUM(F17:F17)</f>
        <v>30.884</v>
      </c>
    </row>
    <row r="17" spans="1:6" s="105" customFormat="1" ht="12.75">
      <c r="A17" s="140" t="s">
        <v>339</v>
      </c>
      <c r="B17" s="107">
        <v>400</v>
      </c>
      <c r="C17" s="90">
        <v>70</v>
      </c>
      <c r="D17" s="17">
        <f>ROUND(B17*C17/1000,1)</f>
        <v>28</v>
      </c>
      <c r="E17" s="69">
        <v>1.103</v>
      </c>
      <c r="F17" s="104">
        <f>D17*E17</f>
        <v>30.884</v>
      </c>
    </row>
    <row r="18" spans="1:6" s="4" customFormat="1" ht="12.75">
      <c r="A18" s="108" t="s">
        <v>157</v>
      </c>
      <c r="B18" s="66" t="s">
        <v>2</v>
      </c>
      <c r="C18" s="66" t="s">
        <v>2</v>
      </c>
      <c r="D18" s="109">
        <f>SUM(D19:D19)</f>
        <v>5.5</v>
      </c>
      <c r="E18" s="109"/>
      <c r="F18" s="110">
        <f>SUM(F19:F19)</f>
        <v>5.5</v>
      </c>
    </row>
    <row r="19" spans="1:6" s="105" customFormat="1" ht="12.75">
      <c r="A19" s="118" t="s">
        <v>157</v>
      </c>
      <c r="B19" s="107">
        <v>5500</v>
      </c>
      <c r="C19" s="90">
        <v>1</v>
      </c>
      <c r="D19" s="17">
        <f>ROUND(B19*C19/1000,1)</f>
        <v>5.5</v>
      </c>
      <c r="E19" s="17">
        <v>1</v>
      </c>
      <c r="F19" s="104">
        <f>D19*E19</f>
        <v>5.5</v>
      </c>
    </row>
    <row r="20" spans="1:6" s="4" customFormat="1" ht="38.25">
      <c r="A20" s="108" t="s">
        <v>148</v>
      </c>
      <c r="B20" s="66" t="s">
        <v>2</v>
      </c>
      <c r="C20" s="66" t="s">
        <v>2</v>
      </c>
      <c r="D20" s="109">
        <f>SUM(D21:D24)</f>
        <v>160.3</v>
      </c>
      <c r="E20" s="109"/>
      <c r="F20" s="110">
        <f>SUM(F21:F22)</f>
        <v>111.8442</v>
      </c>
    </row>
    <row r="21" spans="1:6" s="6" customFormat="1" ht="12.75">
      <c r="A21" s="62" t="s">
        <v>3</v>
      </c>
      <c r="B21" s="64">
        <v>5210</v>
      </c>
      <c r="C21" s="64">
        <v>12</v>
      </c>
      <c r="D21" s="17">
        <f>ROUND(B21*C21/1000,1)</f>
        <v>62.5</v>
      </c>
      <c r="E21" s="17">
        <v>1.103</v>
      </c>
      <c r="F21" s="102">
        <f>D21*E21</f>
        <v>68.9375</v>
      </c>
    </row>
    <row r="22" spans="1:6" s="6" customFormat="1" ht="12.75">
      <c r="A22" s="62" t="s">
        <v>149</v>
      </c>
      <c r="B22" s="64">
        <v>9725</v>
      </c>
      <c r="C22" s="64">
        <v>4</v>
      </c>
      <c r="D22" s="17">
        <f>ROUND(B22*C22/1000,1)</f>
        <v>38.9</v>
      </c>
      <c r="E22" s="17">
        <v>1.103</v>
      </c>
      <c r="F22" s="102">
        <f>D22*E22</f>
        <v>42.9067</v>
      </c>
    </row>
    <row r="23" spans="1:6" s="6" customFormat="1" ht="12.75">
      <c r="A23" s="119" t="s">
        <v>162</v>
      </c>
      <c r="B23" s="64">
        <v>8000</v>
      </c>
      <c r="C23" s="64">
        <v>5</v>
      </c>
      <c r="D23" s="17">
        <f>ROUND(B23*C23/1000,1)</f>
        <v>40</v>
      </c>
      <c r="E23" s="17">
        <v>1.056</v>
      </c>
      <c r="F23" s="121">
        <f>D23*E23</f>
        <v>42.24</v>
      </c>
    </row>
    <row r="24" spans="1:6" s="6" customFormat="1" ht="12.75">
      <c r="A24" s="119" t="s">
        <v>126</v>
      </c>
      <c r="B24" s="64">
        <v>2100</v>
      </c>
      <c r="C24" s="64">
        <v>9</v>
      </c>
      <c r="D24" s="17">
        <f>ROUND(B24*C24/1000,1)</f>
        <v>18.9</v>
      </c>
      <c r="E24" s="17">
        <v>1.103</v>
      </c>
      <c r="F24" s="121">
        <f>D24*E24</f>
        <v>20.8467</v>
      </c>
    </row>
    <row r="25" spans="1:6" s="4" customFormat="1" ht="12.75">
      <c r="A25" s="65" t="s">
        <v>4</v>
      </c>
      <c r="B25" s="66" t="s">
        <v>2</v>
      </c>
      <c r="C25" s="66" t="s">
        <v>2</v>
      </c>
      <c r="D25" s="93">
        <f>SUM(D10,D12,D16,D20)</f>
        <v>427.3</v>
      </c>
      <c r="E25" s="93"/>
      <c r="F25" s="94">
        <f>SUM(F10,F12,F14,F16,F20)+F23+F24+F18</f>
        <v>661.3389</v>
      </c>
    </row>
  </sheetData>
  <sheetProtection/>
  <mergeCells count="3">
    <mergeCell ref="A3:E3"/>
    <mergeCell ref="A5:A8"/>
    <mergeCell ref="B5:F7"/>
  </mergeCells>
  <printOptions/>
  <pageMargins left="0.3937007874015748" right="0.3937007874015748" top="0.984251968503937" bottom="0.5905511811023623" header="0.5118110236220472" footer="0.5118110236220472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19"/>
  <sheetViews>
    <sheetView showZeros="0" zoomScalePageLayoutView="0" workbookViewId="0" topLeftCell="A1">
      <selection activeCell="F23" sqref="F23"/>
    </sheetView>
  </sheetViews>
  <sheetFormatPr defaultColWidth="9.140625" defaultRowHeight="12.75"/>
  <cols>
    <col min="1" max="1" width="38.8515625" style="3" customWidth="1"/>
    <col min="2" max="3" width="10.8515625" style="3" bestFit="1" customWidth="1"/>
    <col min="4" max="4" width="11.8515625" style="3" bestFit="1" customWidth="1"/>
    <col min="5" max="5" width="14.57421875" style="3" customWidth="1"/>
    <col min="6" max="6" width="13.00390625" style="3" customWidth="1"/>
    <col min="7" max="16384" width="9.140625" style="3" customWidth="1"/>
  </cols>
  <sheetData>
    <row r="1" ht="12.75">
      <c r="F1" s="26" t="s">
        <v>353</v>
      </c>
    </row>
    <row r="2" ht="7.5" customHeight="1"/>
    <row r="3" spans="1:6" ht="15.75">
      <c r="A3" s="287" t="s">
        <v>103</v>
      </c>
      <c r="B3" s="287"/>
      <c r="C3" s="287"/>
      <c r="D3" s="287"/>
      <c r="E3" s="287"/>
      <c r="F3" s="287"/>
    </row>
    <row r="4" ht="9" customHeight="1"/>
    <row r="5" spans="1:6" s="71" customFormat="1" ht="12.75">
      <c r="A5" s="305" t="s">
        <v>27</v>
      </c>
      <c r="B5" s="303" t="s">
        <v>11</v>
      </c>
      <c r="C5" s="304"/>
      <c r="D5" s="304"/>
      <c r="E5" s="304"/>
      <c r="F5" s="304"/>
    </row>
    <row r="6" spans="1:8" s="40" customFormat="1" ht="51">
      <c r="A6" s="306"/>
      <c r="B6" s="28" t="s">
        <v>19</v>
      </c>
      <c r="C6" s="28" t="s">
        <v>120</v>
      </c>
      <c r="D6" s="28" t="s">
        <v>24</v>
      </c>
      <c r="E6" s="28" t="s">
        <v>5</v>
      </c>
      <c r="F6" s="28" t="s">
        <v>28</v>
      </c>
      <c r="G6" s="28" t="s">
        <v>125</v>
      </c>
      <c r="H6" s="28" t="s">
        <v>1</v>
      </c>
    </row>
    <row r="7" spans="1:8" s="71" customFormat="1" ht="12.75">
      <c r="A7" s="58">
        <v>1</v>
      </c>
      <c r="B7" s="301">
        <f>A7+1</f>
        <v>2</v>
      </c>
      <c r="C7" s="302"/>
      <c r="D7" s="58">
        <f>B7+1</f>
        <v>3</v>
      </c>
      <c r="E7" s="58">
        <f>D7+1</f>
        <v>4</v>
      </c>
      <c r="F7" s="58">
        <f>E7+1</f>
        <v>5</v>
      </c>
      <c r="G7" s="58">
        <f>F7+1</f>
        <v>6</v>
      </c>
      <c r="H7" s="58">
        <f>G7+1</f>
        <v>7</v>
      </c>
    </row>
    <row r="8" spans="1:8" s="73" customFormat="1" ht="12.75">
      <c r="A8" s="65" t="s">
        <v>21</v>
      </c>
      <c r="B8" s="14">
        <v>3</v>
      </c>
      <c r="C8" s="14">
        <v>1</v>
      </c>
      <c r="D8" s="14">
        <v>1002</v>
      </c>
      <c r="E8" s="14">
        <v>12</v>
      </c>
      <c r="F8" s="14">
        <f>ROUND(B8*D8*E8/1000,1)</f>
        <v>36.1</v>
      </c>
      <c r="G8" s="116">
        <v>1.056</v>
      </c>
      <c r="H8" s="100">
        <f>F8*G8</f>
        <v>38.1216</v>
      </c>
    </row>
    <row r="9" spans="1:8" s="73" customFormat="1" ht="12.75">
      <c r="A9" s="72" t="s">
        <v>18</v>
      </c>
      <c r="B9" s="14">
        <v>0</v>
      </c>
      <c r="C9" s="14"/>
      <c r="D9" s="14"/>
      <c r="E9" s="14"/>
      <c r="F9" s="14">
        <f>SUM(F10:F11)</f>
        <v>0</v>
      </c>
      <c r="G9" s="99">
        <v>1.056</v>
      </c>
      <c r="H9" s="100">
        <f aca="true" t="shared" si="0" ref="H9:H18">F9*G9</f>
        <v>0</v>
      </c>
    </row>
    <row r="10" spans="1:8" s="75" customFormat="1" ht="12.75">
      <c r="A10" s="74" t="s">
        <v>22</v>
      </c>
      <c r="B10" s="15">
        <v>0</v>
      </c>
      <c r="C10" s="15">
        <v>1</v>
      </c>
      <c r="D10" s="15">
        <v>0</v>
      </c>
      <c r="E10" s="15">
        <v>12</v>
      </c>
      <c r="F10" s="15">
        <f aca="true" t="shared" si="1" ref="F10:F18">ROUND(C10*D10*E10/1000,1)</f>
        <v>0</v>
      </c>
      <c r="G10" s="99">
        <v>1.056</v>
      </c>
      <c r="H10" s="100">
        <f t="shared" si="0"/>
        <v>0</v>
      </c>
    </row>
    <row r="11" spans="1:8" s="75" customFormat="1" ht="12.75">
      <c r="A11" s="74" t="s">
        <v>23</v>
      </c>
      <c r="B11" s="15"/>
      <c r="C11" s="15"/>
      <c r="D11" s="15"/>
      <c r="E11" s="15"/>
      <c r="F11" s="15">
        <f t="shared" si="1"/>
        <v>0</v>
      </c>
      <c r="G11" s="99"/>
      <c r="H11" s="100">
        <f t="shared" si="0"/>
        <v>0</v>
      </c>
    </row>
    <row r="12" spans="1:8" s="73" customFormat="1" ht="12.75">
      <c r="A12" s="72" t="s">
        <v>17</v>
      </c>
      <c r="B12" s="14"/>
      <c r="C12" s="14">
        <v>1</v>
      </c>
      <c r="D12" s="14"/>
      <c r="E12" s="14">
        <v>12</v>
      </c>
      <c r="F12" s="14">
        <f t="shared" si="1"/>
        <v>0</v>
      </c>
      <c r="G12" s="99">
        <v>1.056</v>
      </c>
      <c r="H12" s="100">
        <f t="shared" si="0"/>
        <v>0</v>
      </c>
    </row>
    <row r="13" spans="1:10" s="73" customFormat="1" ht="12.75">
      <c r="A13" s="72" t="s">
        <v>116</v>
      </c>
      <c r="B13" s="14"/>
      <c r="C13" s="14"/>
      <c r="D13" s="14"/>
      <c r="E13" s="14"/>
      <c r="F13" s="14">
        <f t="shared" si="1"/>
        <v>0</v>
      </c>
      <c r="G13" s="99"/>
      <c r="H13" s="100">
        <f t="shared" si="0"/>
        <v>0</v>
      </c>
      <c r="J13" s="124"/>
    </row>
    <row r="14" spans="1:8" s="73" customFormat="1" ht="12.75">
      <c r="A14" s="72" t="s">
        <v>117</v>
      </c>
      <c r="B14" s="14"/>
      <c r="C14" s="14">
        <v>1</v>
      </c>
      <c r="D14" s="14">
        <v>0</v>
      </c>
      <c r="E14" s="14">
        <v>12</v>
      </c>
      <c r="F14" s="14">
        <f t="shared" si="1"/>
        <v>0</v>
      </c>
      <c r="G14" s="99">
        <v>1.056</v>
      </c>
      <c r="H14" s="100">
        <f t="shared" si="0"/>
        <v>0</v>
      </c>
    </row>
    <row r="15" spans="1:8" s="73" customFormat="1" ht="12.75">
      <c r="A15" s="72" t="s">
        <v>118</v>
      </c>
      <c r="B15" s="14"/>
      <c r="C15" s="14">
        <v>1</v>
      </c>
      <c r="D15" s="14">
        <v>0</v>
      </c>
      <c r="E15" s="14">
        <v>12</v>
      </c>
      <c r="F15" s="14">
        <f t="shared" si="1"/>
        <v>0</v>
      </c>
      <c r="G15" s="99">
        <v>1.056</v>
      </c>
      <c r="H15" s="100">
        <f t="shared" si="0"/>
        <v>0</v>
      </c>
    </row>
    <row r="16" spans="1:8" s="73" customFormat="1" ht="12.75">
      <c r="A16" s="76" t="s">
        <v>38</v>
      </c>
      <c r="B16" s="14">
        <v>1</v>
      </c>
      <c r="C16" s="14">
        <v>1</v>
      </c>
      <c r="D16" s="14">
        <v>156</v>
      </c>
      <c r="E16" s="14">
        <v>12</v>
      </c>
      <c r="F16" s="14">
        <f t="shared" si="1"/>
        <v>1.9</v>
      </c>
      <c r="G16" s="99">
        <v>1.056</v>
      </c>
      <c r="H16" s="100">
        <f t="shared" si="0"/>
        <v>2.0064</v>
      </c>
    </row>
    <row r="17" spans="1:8" s="73" customFormat="1" ht="12.75">
      <c r="A17" s="76" t="s">
        <v>26</v>
      </c>
      <c r="B17" s="14"/>
      <c r="C17" s="14"/>
      <c r="D17" s="14"/>
      <c r="E17" s="14"/>
      <c r="F17" s="14">
        <f t="shared" si="1"/>
        <v>0</v>
      </c>
      <c r="G17" s="99"/>
      <c r="H17" s="100">
        <f t="shared" si="0"/>
        <v>0</v>
      </c>
    </row>
    <row r="18" spans="1:8" s="73" customFormat="1" ht="12.75">
      <c r="A18" s="76" t="s">
        <v>25</v>
      </c>
      <c r="B18" s="14"/>
      <c r="C18" s="14">
        <v>1</v>
      </c>
      <c r="D18" s="14">
        <v>0</v>
      </c>
      <c r="E18" s="14">
        <v>12</v>
      </c>
      <c r="F18" s="14">
        <f t="shared" si="1"/>
        <v>0</v>
      </c>
      <c r="G18" s="99">
        <v>1.056</v>
      </c>
      <c r="H18" s="100">
        <f t="shared" si="0"/>
        <v>0</v>
      </c>
    </row>
    <row r="19" spans="1:8" s="154" customFormat="1" ht="12.75">
      <c r="A19" s="135" t="s">
        <v>20</v>
      </c>
      <c r="B19" s="149"/>
      <c r="C19" s="149"/>
      <c r="D19" s="153"/>
      <c r="E19" s="153"/>
      <c r="F19" s="153">
        <f>SUM(F8:F9,F12:F18)</f>
        <v>38</v>
      </c>
      <c r="G19" s="153"/>
      <c r="H19" s="151">
        <f>SUM(H8:H9,H12:H18)</f>
        <v>40.128</v>
      </c>
    </row>
    <row r="20" s="40" customFormat="1" ht="12.75"/>
    <row r="21" s="40" customFormat="1" ht="12.75"/>
  </sheetData>
  <sheetProtection/>
  <mergeCells count="4">
    <mergeCell ref="B7:C7"/>
    <mergeCell ref="B5:F5"/>
    <mergeCell ref="A5:A6"/>
    <mergeCell ref="A3:F3"/>
  </mergeCells>
  <printOptions/>
  <pageMargins left="0.3937007874015748" right="0.3937007874015748" top="0.7874015748031497" bottom="0.1968503937007874" header="0.6299212598425197" footer="0.5118110236220472"/>
  <pageSetup blackAndWhite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D16"/>
  <sheetViews>
    <sheetView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9.8515625" style="3" bestFit="1" customWidth="1"/>
    <col min="2" max="2" width="19.00390625" style="3" customWidth="1"/>
    <col min="3" max="3" width="13.57421875" style="3" customWidth="1"/>
    <col min="4" max="4" width="13.28125" style="3" customWidth="1"/>
    <col min="5" max="16384" width="9.140625" style="3" customWidth="1"/>
  </cols>
  <sheetData>
    <row r="1" ht="15.75">
      <c r="D1" s="51" t="s">
        <v>140</v>
      </c>
    </row>
    <row r="2" ht="7.5" customHeight="1"/>
    <row r="3" spans="1:4" ht="15.75">
      <c r="A3" s="287" t="s">
        <v>104</v>
      </c>
      <c r="B3" s="287"/>
      <c r="C3" s="287"/>
      <c r="D3" s="287"/>
    </row>
    <row r="4" ht="9" customHeight="1"/>
    <row r="5" spans="1:4" s="4" customFormat="1" ht="12.75" customHeight="1">
      <c r="A5" s="288" t="s">
        <v>0</v>
      </c>
      <c r="B5" s="291" t="s">
        <v>14</v>
      </c>
      <c r="C5" s="292"/>
      <c r="D5" s="293"/>
    </row>
    <row r="6" spans="1:4" s="4" customFormat="1" ht="12.75" customHeight="1" hidden="1">
      <c r="A6" s="289"/>
      <c r="B6" s="52"/>
      <c r="C6" s="52"/>
      <c r="D6" s="53"/>
    </row>
    <row r="7" spans="1:4" s="4" customFormat="1" ht="12.75" customHeight="1" hidden="1">
      <c r="A7" s="289"/>
      <c r="B7" s="54"/>
      <c r="C7" s="54"/>
      <c r="D7" s="55"/>
    </row>
    <row r="8" spans="1:4" s="4" customFormat="1" ht="66.75" customHeight="1">
      <c r="A8" s="290"/>
      <c r="B8" s="2" t="s">
        <v>132</v>
      </c>
      <c r="C8" s="57" t="s">
        <v>112</v>
      </c>
      <c r="D8" s="56" t="s">
        <v>1</v>
      </c>
    </row>
    <row r="9" spans="1:4" s="4" customFormat="1" ht="12.75">
      <c r="A9" s="58"/>
      <c r="B9" s="95">
        <v>1</v>
      </c>
      <c r="C9" s="58">
        <f>B9+1</f>
        <v>2</v>
      </c>
      <c r="D9" s="58">
        <f>C9+1</f>
        <v>3</v>
      </c>
    </row>
    <row r="10" spans="1:4" s="4" customFormat="1" ht="12.75">
      <c r="A10" s="78"/>
      <c r="B10" s="68" t="s">
        <v>2</v>
      </c>
      <c r="C10" s="68" t="s">
        <v>2</v>
      </c>
      <c r="D10" s="69">
        <f>SUM(D11:D13)</f>
        <v>40.9</v>
      </c>
    </row>
    <row r="11" spans="1:4" s="6" customFormat="1" ht="12">
      <c r="A11" s="141" t="s">
        <v>119</v>
      </c>
      <c r="B11" s="64">
        <v>40.9</v>
      </c>
      <c r="C11" s="64">
        <v>1</v>
      </c>
      <c r="D11" s="17">
        <f>ROUND(B11*C11,1)</f>
        <v>40.9</v>
      </c>
    </row>
    <row r="12" spans="1:4" s="6" customFormat="1" ht="12">
      <c r="A12" s="62"/>
      <c r="B12" s="64"/>
      <c r="C12" s="64"/>
      <c r="D12" s="17"/>
    </row>
    <row r="13" spans="1:4" s="6" customFormat="1" ht="12">
      <c r="A13" s="62"/>
      <c r="B13" s="64"/>
      <c r="C13" s="64"/>
      <c r="D13" s="17"/>
    </row>
    <row r="14" spans="1:4" s="6" customFormat="1" ht="12">
      <c r="A14" s="62"/>
      <c r="B14" s="64"/>
      <c r="C14" s="64"/>
      <c r="D14" s="17"/>
    </row>
    <row r="15" spans="1:4" s="4" customFormat="1" ht="12.75">
      <c r="A15" s="65" t="s">
        <v>39</v>
      </c>
      <c r="B15" s="66" t="s">
        <v>2</v>
      </c>
      <c r="C15" s="66" t="s">
        <v>2</v>
      </c>
      <c r="D15" s="67">
        <f>SUM(D10)</f>
        <v>40.9</v>
      </c>
    </row>
    <row r="16" ht="12.75">
      <c r="D16" s="133">
        <v>226</v>
      </c>
    </row>
  </sheetData>
  <sheetProtection/>
  <mergeCells count="3">
    <mergeCell ref="A3:D3"/>
    <mergeCell ref="A5:A8"/>
    <mergeCell ref="B5:D5"/>
  </mergeCells>
  <printOptions/>
  <pageMargins left="0.3937007874015748" right="0.3937007874015748" top="0.984251968503937" bottom="0.3937007874015748" header="0.5118110236220472" footer="0.31496062992125984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2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9.8515625" style="3" bestFit="1" customWidth="1"/>
    <col min="2" max="2" width="11.8515625" style="3" customWidth="1"/>
    <col min="3" max="3" width="13.28125" style="3" customWidth="1"/>
    <col min="4" max="4" width="14.421875" style="3" customWidth="1"/>
    <col min="5" max="5" width="12.28125" style="3" customWidth="1"/>
    <col min="6" max="16384" width="9.140625" style="3" customWidth="1"/>
  </cols>
  <sheetData>
    <row r="1" ht="15.75">
      <c r="G1" s="51" t="s">
        <v>141</v>
      </c>
    </row>
    <row r="3" spans="1:3" ht="15.75">
      <c r="A3" s="287" t="s">
        <v>121</v>
      </c>
      <c r="B3" s="287"/>
      <c r="C3" s="287"/>
    </row>
    <row r="5" spans="1:3" s="4" customFormat="1" ht="12.75" customHeight="1" hidden="1">
      <c r="A5" s="96"/>
      <c r="B5" s="52"/>
      <c r="C5" s="53"/>
    </row>
    <row r="6" spans="1:3" s="4" customFormat="1" ht="12.75" customHeight="1" hidden="1">
      <c r="A6" s="96"/>
      <c r="B6" s="52"/>
      <c r="C6" s="53"/>
    </row>
    <row r="7" spans="1:7" s="4" customFormat="1" ht="12.75" customHeight="1">
      <c r="A7" s="305" t="s">
        <v>122</v>
      </c>
      <c r="B7" s="309" t="s">
        <v>8</v>
      </c>
      <c r="C7" s="309"/>
      <c r="D7" s="309"/>
      <c r="E7" s="309"/>
      <c r="F7" s="309"/>
      <c r="G7" s="309"/>
    </row>
    <row r="8" spans="1:7" s="4" customFormat="1" ht="51">
      <c r="A8" s="306"/>
      <c r="B8" s="28" t="s">
        <v>120</v>
      </c>
      <c r="C8" s="28" t="s">
        <v>24</v>
      </c>
      <c r="D8" s="28" t="s">
        <v>5</v>
      </c>
      <c r="E8" s="28" t="s">
        <v>28</v>
      </c>
      <c r="F8" s="28" t="s">
        <v>125</v>
      </c>
      <c r="G8" s="28" t="s">
        <v>1</v>
      </c>
    </row>
    <row r="9" spans="1:7" s="4" customFormat="1" ht="12.75">
      <c r="A9" s="58">
        <v>1</v>
      </c>
      <c r="B9" s="91">
        <f aca="true" t="shared" si="0" ref="B9:G9">A9+1</f>
        <v>2</v>
      </c>
      <c r="C9" s="58">
        <f t="shared" si="0"/>
        <v>3</v>
      </c>
      <c r="D9" s="58">
        <f t="shared" si="0"/>
        <v>4</v>
      </c>
      <c r="E9" s="58">
        <f t="shared" si="0"/>
        <v>5</v>
      </c>
      <c r="F9" s="58">
        <f t="shared" si="0"/>
        <v>6</v>
      </c>
      <c r="G9" s="58">
        <f t="shared" si="0"/>
        <v>7</v>
      </c>
    </row>
    <row r="10" spans="1:7" ht="12.75">
      <c r="A10" s="127" t="s">
        <v>169</v>
      </c>
      <c r="B10" s="14">
        <v>1</v>
      </c>
      <c r="C10" s="129">
        <v>165000</v>
      </c>
      <c r="D10" s="14">
        <v>1</v>
      </c>
      <c r="E10" s="14">
        <f>ROUND(B10*C10*D10/1000,1)</f>
        <v>165</v>
      </c>
      <c r="F10" s="99">
        <v>1</v>
      </c>
      <c r="G10" s="130">
        <f>E10*F10</f>
        <v>165</v>
      </c>
    </row>
    <row r="11" spans="1:7" ht="12.75">
      <c r="A11" s="128" t="s">
        <v>169</v>
      </c>
      <c r="B11" s="14">
        <v>1</v>
      </c>
      <c r="C11" s="14">
        <f>C10</f>
        <v>165000</v>
      </c>
      <c r="D11" s="14">
        <v>1</v>
      </c>
      <c r="E11" s="14">
        <f>ROUND(B11*C11*D11/1000,1)</f>
        <v>165</v>
      </c>
      <c r="F11" s="99">
        <v>1</v>
      </c>
      <c r="G11" s="100">
        <f>E11*F11</f>
        <v>165</v>
      </c>
    </row>
    <row r="12" spans="1:7" ht="38.25">
      <c r="A12" s="142" t="s">
        <v>170</v>
      </c>
      <c r="B12" s="14">
        <v>1</v>
      </c>
      <c r="C12" s="129">
        <f>C13</f>
        <v>334742.6</v>
      </c>
      <c r="D12" s="14">
        <v>1</v>
      </c>
      <c r="E12" s="14">
        <f>ROUND(B12*C12*D12/1000,1)</f>
        <v>334.7</v>
      </c>
      <c r="F12" s="99">
        <v>1</v>
      </c>
      <c r="G12" s="130">
        <f>E12*F12</f>
        <v>334.7</v>
      </c>
    </row>
    <row r="13" spans="1:7" ht="25.5">
      <c r="A13" s="143" t="s">
        <v>340</v>
      </c>
      <c r="B13" s="14">
        <v>1</v>
      </c>
      <c r="C13" s="14">
        <f>90000+6750+45850+143912.6+26990+21240</f>
        <v>334742.6</v>
      </c>
      <c r="D13" s="14">
        <v>1</v>
      </c>
      <c r="E13" s="14">
        <f>ROUND(B13*C13*D13/1000,1)</f>
        <v>334.7</v>
      </c>
      <c r="F13" s="99">
        <v>1</v>
      </c>
      <c r="G13" s="100">
        <f>E13*F13</f>
        <v>334.7</v>
      </c>
    </row>
    <row r="14" spans="1:7" ht="12.75">
      <c r="A14" s="142" t="s">
        <v>171</v>
      </c>
      <c r="B14" s="14">
        <v>1</v>
      </c>
      <c r="C14" s="14">
        <v>0</v>
      </c>
      <c r="D14" s="14">
        <v>12</v>
      </c>
      <c r="E14" s="14">
        <f>ROUND(B14*C14*D14/1000,1)</f>
        <v>0</v>
      </c>
      <c r="F14" s="99">
        <v>1</v>
      </c>
      <c r="G14" s="130">
        <f>E14*F14</f>
        <v>0</v>
      </c>
    </row>
    <row r="15" spans="1:7" ht="12.75">
      <c r="A15" s="138" t="s">
        <v>20</v>
      </c>
      <c r="B15" s="66"/>
      <c r="C15" s="16"/>
      <c r="D15" s="16"/>
      <c r="E15" s="16">
        <f>E10+E12+E14</f>
        <v>499.7</v>
      </c>
      <c r="F15" s="16"/>
      <c r="G15" s="94">
        <f>G10+G12+G14</f>
        <v>499.7</v>
      </c>
    </row>
    <row r="16" ht="12.75">
      <c r="A16" s="137"/>
    </row>
    <row r="17" ht="12.75">
      <c r="A17" s="137"/>
    </row>
    <row r="18" spans="1:5" s="4" customFormat="1" ht="12.75">
      <c r="A18" s="307" t="s">
        <v>122</v>
      </c>
      <c r="B18" s="309" t="s">
        <v>8</v>
      </c>
      <c r="C18" s="309"/>
      <c r="D18" s="309"/>
      <c r="E18" s="309"/>
    </row>
    <row r="19" spans="1:8" s="4" customFormat="1" ht="54.75" customHeight="1">
      <c r="A19" s="308"/>
      <c r="B19" s="28" t="s">
        <v>123</v>
      </c>
      <c r="C19" s="28" t="s">
        <v>24</v>
      </c>
      <c r="D19" s="28" t="s">
        <v>124</v>
      </c>
      <c r="E19" s="28" t="s">
        <v>28</v>
      </c>
      <c r="G19" s="122"/>
      <c r="H19" s="122"/>
    </row>
    <row r="20" spans="1:5" s="4" customFormat="1" ht="12.75">
      <c r="A20" s="144">
        <v>1</v>
      </c>
      <c r="B20" s="91">
        <f>A20+1</f>
        <v>2</v>
      </c>
      <c r="C20" s="58">
        <f>B20+1</f>
        <v>3</v>
      </c>
      <c r="D20" s="58">
        <f>C20+1</f>
        <v>4</v>
      </c>
      <c r="E20" s="58">
        <f>D20+1</f>
        <v>5</v>
      </c>
    </row>
    <row r="21" spans="1:5" s="6" customFormat="1" ht="12.75">
      <c r="A21" s="138" t="s">
        <v>175</v>
      </c>
      <c r="B21" s="14"/>
      <c r="C21" s="14"/>
      <c r="D21" s="14"/>
      <c r="E21" s="14"/>
    </row>
    <row r="22" spans="1:5" s="98" customFormat="1" ht="12.75">
      <c r="A22" s="145" t="s">
        <v>172</v>
      </c>
      <c r="B22" s="97">
        <v>5</v>
      </c>
      <c r="C22" s="97">
        <v>200</v>
      </c>
      <c r="D22" s="97">
        <v>5</v>
      </c>
      <c r="E22" s="97">
        <f>ROUND(B22*C22*D22/1000,1)</f>
        <v>5</v>
      </c>
    </row>
    <row r="23" spans="1:5" s="98" customFormat="1" ht="12.75">
      <c r="A23" s="145" t="s">
        <v>173</v>
      </c>
      <c r="B23" s="97">
        <v>15</v>
      </c>
      <c r="C23" s="97">
        <v>550</v>
      </c>
      <c r="D23" s="97">
        <v>1</v>
      </c>
      <c r="E23" s="136">
        <f>ROUND(B23*C23*D23/1000,1)</f>
        <v>8.3</v>
      </c>
    </row>
    <row r="24" spans="1:5" s="98" customFormat="1" ht="12.75">
      <c r="A24" s="145" t="s">
        <v>174</v>
      </c>
      <c r="B24" s="97">
        <v>5</v>
      </c>
      <c r="C24" s="97">
        <v>2000</v>
      </c>
      <c r="D24" s="97">
        <v>2</v>
      </c>
      <c r="E24" s="97">
        <f>ROUND(B24*C24*D24/1000,1)</f>
        <v>20</v>
      </c>
    </row>
    <row r="25" spans="1:5" ht="12.75">
      <c r="A25" s="65" t="s">
        <v>20</v>
      </c>
      <c r="B25" s="66"/>
      <c r="C25" s="16"/>
      <c r="D25" s="16"/>
      <c r="E25" s="93">
        <f>E22+E23+E24</f>
        <v>33.3</v>
      </c>
    </row>
  </sheetData>
  <sheetProtection/>
  <mergeCells count="5">
    <mergeCell ref="A18:A19"/>
    <mergeCell ref="B18:E18"/>
    <mergeCell ref="B7:G7"/>
    <mergeCell ref="A3:C3"/>
    <mergeCell ref="A7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Каргополова Ирина Васильевна</cp:lastModifiedBy>
  <cp:lastPrinted>2013-07-10T15:11:48Z</cp:lastPrinted>
  <dcterms:created xsi:type="dcterms:W3CDTF">1996-10-08T23:32:33Z</dcterms:created>
  <dcterms:modified xsi:type="dcterms:W3CDTF">2007-01-01T19:34:06Z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